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herve/Downloads/"/>
    </mc:Choice>
  </mc:AlternateContent>
  <xr:revisionPtr revIDLastSave="0" documentId="13_ncr:1_{B2AA4E52-8B33-D141-B4DA-3E93A2F0F37B}" xr6:coauthVersionLast="47" xr6:coauthVersionMax="47" xr10:uidLastSave="{00000000-0000-0000-0000-000000000000}"/>
  <bookViews>
    <workbookView xWindow="180" yWindow="1080" windowWidth="18180" windowHeight="20800" tabRatio="784" activeTab="3" xr2:uid="{00000000-000D-0000-FFFF-FFFF00000000}"/>
  </bookViews>
  <sheets>
    <sheet name="Règles" sheetId="1" r:id="rId1"/>
    <sheet name="Données initiales" sheetId="2" r:id="rId2"/>
    <sheet name="Synthèse ERD" sheetId="3" r:id="rId3"/>
    <sheet name="1- Salaires" sheetId="4" r:id="rId4"/>
    <sheet name="2- Sous-traitance" sheetId="5" r:id="rId5"/>
    <sheet name="3- Refacturation interne" sheetId="6" r:id="rId6"/>
    <sheet name="4- Frais de missions" sheetId="7" r:id="rId7"/>
    <sheet name="5- Autres coûts" sheetId="8" r:id="rId8"/>
    <sheet name="6- Amortissements" sheetId="9" r:id="rId9"/>
    <sheet name="7- Dépenses d'équipement" sheetId="10" r:id="rId10"/>
  </sheets>
  <definedNames>
    <definedName name="beneficiaire">'Données initiales'!$C$6</definedName>
    <definedName name="codecontrat">#NAME?</definedName>
    <definedName name="convention">'Données initiales'!$B$9</definedName>
    <definedName name="date_debut">'Données initiales'!$C$18</definedName>
    <definedName name="date_fin">'Données initiales'!$C$19</definedName>
    <definedName name="debut">'Données initiales'!$B$18</definedName>
    <definedName name="depense_total_de">'5- Autres coûts'!#REF!</definedName>
    <definedName name="depense_total_eli">'5- Autres coûts'!#REF!</definedName>
    <definedName name="depense_total_non_eli">'5- Autres coûts'!#REF!</definedName>
    <definedName name="depense_total_op">'5- Autres coûts'!#REF!</definedName>
    <definedName name="depense_total_rf">'5- Autres coûts'!#REF!</definedName>
    <definedName name="depense_total_ri">'5- Autres coûts'!#REF!</definedName>
    <definedName name="fin">'Données initiales'!$B$19</definedName>
    <definedName name="fonction">'Données initiales'!$C$13</definedName>
    <definedName name="forfait">'Données initiales'!$C$9</definedName>
    <definedName name="nom">'Données initiales'!$C$11</definedName>
    <definedName name="num_convention">'Données initiales'!$C$5</definedName>
    <definedName name="num_etape">'Données initiales'!$C$15</definedName>
    <definedName name="numEC">#NAME?</definedName>
    <definedName name="prenom">'Données initiales'!$C$12</definedName>
    <definedName name="projet">'Données initiales'!$C$4</definedName>
    <definedName name="salaire_total_de">'1- Salaires'!#REF!</definedName>
    <definedName name="salaire_total_eli">'1- Salaires'!#REF!</definedName>
    <definedName name="salaire_total_non_eli">'1- Salaires'!#REF!</definedName>
    <definedName name="salaire_total_op">'1- Salaires'!#REF!</definedName>
    <definedName name="salaire_total_rf">'1- Salaires'!#REF!</definedName>
    <definedName name="salaire_total_ri">'1- Salaires'!#REF!</definedName>
    <definedName name="soustrait_total_de">'2- Sous-traitance'!#REF!</definedName>
    <definedName name="soustrait_total_eli">'2- Sous-traitance'!#REF!</definedName>
    <definedName name="soustrait_total_non_eli">'2- Sous-traitance'!#REF!</definedName>
    <definedName name="soustrait_total_op">'2- Sous-traitance'!#REF!</definedName>
    <definedName name="soustrait_total_rf">'2- Sous-traitance'!#REF!</definedName>
    <definedName name="soustrait_total_ri">'2- Sous-traitance'!#REF!</definedName>
    <definedName name="total_amo_de">'6- Amortissements'!#REF!</definedName>
    <definedName name="total_amo_eli">'6- Amortissements'!#REF!</definedName>
    <definedName name="total_amo_non_eli">'6- Amortissements'!#REF!</definedName>
    <definedName name="total_amo_op">'6- Amortissements'!#REF!</definedName>
    <definedName name="total_amo_rf">'6- Amortissements'!#REF!</definedName>
    <definedName name="total_amo_ri">'6- Amortissements'!#REF!</definedName>
    <definedName name="total_fm_de">'4- Frais de missions'!#REF!</definedName>
    <definedName name="total_fm_eli">'4- Frais de missions'!#REF!</definedName>
    <definedName name="total_fm_non_eli">'4- Frais de missions'!#REF!</definedName>
    <definedName name="total_fm_op">'4- Frais de missions'!#REF!</definedName>
    <definedName name="total_fm_rf">'4- Frais de missions'!#REF!</definedName>
    <definedName name="total_fm_ri">'4- Frais de missions'!#REF!</definedName>
    <definedName name="total_ri_de">'3- Refacturation interne'!#REF!</definedName>
    <definedName name="total_ri_eli">'3- Refacturation interne'!#REF!</definedName>
    <definedName name="total_ri_non_eli">'3- Refacturation interne'!#REF!</definedName>
    <definedName name="total_ri_op">'3- Refacturation interne'!#REF!</definedName>
    <definedName name="total_ri_rf">'3- Refacturation interne'!#REF!</definedName>
    <definedName name="total_ri_ri">'3- Refacturation interne'!#REF!</definedName>
    <definedName name="type_beneficiaire">'Données initiales'!$C$8</definedName>
    <definedName name="type_convention">#NAME?</definedName>
    <definedName name="typeEtab">#NAME?</definedName>
    <definedName name="_xlnm.Print_Area" localSheetId="3">'1- Salaires'!$A$7:$Q$55</definedName>
    <definedName name="_xlnm.Print_Area" localSheetId="4">'2- Sous-traitance'!$A$5:$O$27</definedName>
    <definedName name="_xlnm.Print_Area" localSheetId="5">'3- Refacturation interne'!$A$5:$P$27</definedName>
    <definedName name="_xlnm.Print_Area" localSheetId="6">'4- Frais de missions'!$A$5:$O$26</definedName>
    <definedName name="_xlnm.Print_Area" localSheetId="7">'5- Autres coûts'!$A$5:$N$33</definedName>
    <definedName name="_xlnm.Print_Area" localSheetId="8">'6- Amortissements'!$A$5:$T$25</definedName>
    <definedName name="_xlnm.Print_Area" localSheetId="9">'7- Dépenses d''équipement'!$A$5:$N$26</definedName>
    <definedName name="_xlnm.Print_Area" localSheetId="2">'Synthèse ERD'!$B$4:$J$28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O15" i="7" l="1"/>
  <c r="T14" i="9"/>
  <c r="J13" i="3" l="1"/>
  <c r="J11" i="3"/>
  <c r="J12" i="3"/>
  <c r="J15" i="3"/>
  <c r="J16" i="3"/>
  <c r="N15" i="8" l="1"/>
  <c r="N14" i="8"/>
  <c r="Q38" i="4"/>
  <c r="Q37" i="4"/>
  <c r="Q36" i="4" l="1"/>
  <c r="Q35" i="4"/>
  <c r="Q25" i="4"/>
  <c r="Q39" i="4"/>
  <c r="Q43" i="4"/>
  <c r="Q42" i="4"/>
  <c r="Q41" i="4"/>
  <c r="Q40" i="4"/>
  <c r="Q34" i="4"/>
  <c r="Q33" i="4"/>
  <c r="Q32" i="4"/>
  <c r="Q31" i="4"/>
  <c r="Q30" i="4"/>
  <c r="Q29" i="4"/>
  <c r="Q28" i="4"/>
  <c r="Q27" i="4"/>
  <c r="Q26" i="4"/>
  <c r="Q24" i="4"/>
  <c r="Q23" i="4"/>
  <c r="Q22" i="4"/>
  <c r="Q21" i="4"/>
  <c r="Q20" i="4"/>
  <c r="Q19" i="4"/>
  <c r="Q18" i="4"/>
  <c r="Q17" i="4"/>
  <c r="Q16" i="4"/>
  <c r="Q15" i="4"/>
  <c r="Q14" i="4"/>
  <c r="Q13" i="4"/>
  <c r="N19" i="8" l="1"/>
  <c r="N18" i="8"/>
  <c r="N17" i="8"/>
  <c r="N16" i="8"/>
  <c r="N13" i="8"/>
  <c r="N12" i="8"/>
  <c r="N11" i="8"/>
  <c r="N10" i="8"/>
  <c r="O10" i="7"/>
  <c r="P13" i="6"/>
  <c r="O10" i="5"/>
  <c r="O16" i="5" l="1"/>
  <c r="P16" i="6"/>
  <c r="I14" i="3" l="1"/>
  <c r="H14" i="3"/>
  <c r="K22" i="8"/>
  <c r="G14" i="3" s="1"/>
  <c r="J22" i="8"/>
  <c r="F14" i="3" s="1"/>
  <c r="I22" i="8"/>
  <c r="E14" i="3" s="1"/>
  <c r="H22" i="8"/>
  <c r="D14" i="3" s="1"/>
  <c r="G22" i="8"/>
  <c r="C14" i="3" s="1"/>
  <c r="Q12" i="4"/>
  <c r="I10" i="3"/>
  <c r="H10" i="3"/>
  <c r="G10" i="3"/>
  <c r="E10" i="3"/>
  <c r="D10" i="3"/>
  <c r="J20" i="10"/>
  <c r="P19" i="9"/>
  <c r="J27" i="8"/>
  <c r="K20" i="7"/>
  <c r="L21" i="6"/>
  <c r="K21" i="5"/>
  <c r="M49" i="4"/>
  <c r="J19" i="10"/>
  <c r="M15" i="10"/>
  <c r="I16" i="3" s="1"/>
  <c r="L15" i="10"/>
  <c r="H16" i="3" s="1"/>
  <c r="K15" i="10"/>
  <c r="J15" i="10"/>
  <c r="I15" i="10"/>
  <c r="H15" i="10"/>
  <c r="G15" i="10"/>
  <c r="N14" i="10"/>
  <c r="N13" i="10"/>
  <c r="N12" i="10"/>
  <c r="N11" i="10"/>
  <c r="N10" i="10"/>
  <c r="A7" i="10"/>
  <c r="A6" i="10"/>
  <c r="K5" i="10"/>
  <c r="F5" i="10"/>
  <c r="B5" i="10"/>
  <c r="P18" i="9"/>
  <c r="A16" i="9"/>
  <c r="S14" i="9"/>
  <c r="I15" i="3" s="1"/>
  <c r="R14" i="9"/>
  <c r="H15" i="3" s="1"/>
  <c r="Q14" i="9"/>
  <c r="G15" i="3" s="1"/>
  <c r="P14" i="9"/>
  <c r="F15" i="3" s="1"/>
  <c r="O14" i="9"/>
  <c r="E15" i="3" s="1"/>
  <c r="N14" i="9"/>
  <c r="D15" i="3" s="1"/>
  <c r="M11" i="9"/>
  <c r="M12" i="9"/>
  <c r="M13" i="9"/>
  <c r="T13" i="9"/>
  <c r="K13" i="9"/>
  <c r="J13" i="9"/>
  <c r="H13" i="9"/>
  <c r="T12" i="9"/>
  <c r="K12" i="9"/>
  <c r="J12" i="9"/>
  <c r="H12" i="9"/>
  <c r="T11" i="9"/>
  <c r="K11" i="9"/>
  <c r="J11" i="9"/>
  <c r="H11" i="9"/>
  <c r="T10" i="9"/>
  <c r="J10" i="9"/>
  <c r="K10" i="9" s="1"/>
  <c r="M10" i="9" s="1"/>
  <c r="A7" i="9"/>
  <c r="A6" i="9"/>
  <c r="Q5" i="9"/>
  <c r="I5" i="9"/>
  <c r="B5" i="9"/>
  <c r="J26" i="8"/>
  <c r="A24" i="8"/>
  <c r="A7" i="8"/>
  <c r="A6" i="8"/>
  <c r="K5" i="8"/>
  <c r="F5" i="8"/>
  <c r="B5" i="8"/>
  <c r="K19" i="7"/>
  <c r="A17" i="7"/>
  <c r="N15" i="7"/>
  <c r="I13" i="3" s="1"/>
  <c r="M15" i="7"/>
  <c r="H13" i="3" s="1"/>
  <c r="L15" i="7"/>
  <c r="G13" i="3" s="1"/>
  <c r="K15" i="7"/>
  <c r="F13" i="3" s="1"/>
  <c r="J15" i="7"/>
  <c r="E13" i="3" s="1"/>
  <c r="I15" i="7"/>
  <c r="D13" i="3" s="1"/>
  <c r="H15" i="7"/>
  <c r="C13" i="3" s="1"/>
  <c r="O14" i="7"/>
  <c r="O13" i="7"/>
  <c r="O12" i="7"/>
  <c r="O11" i="7"/>
  <c r="A7" i="7"/>
  <c r="A6" i="7"/>
  <c r="L5" i="7"/>
  <c r="F5" i="7"/>
  <c r="B5" i="7"/>
  <c r="L20" i="6"/>
  <c r="A18" i="6"/>
  <c r="O16" i="6"/>
  <c r="I12" i="3" s="1"/>
  <c r="N16" i="6"/>
  <c r="H12" i="3" s="1"/>
  <c r="M16" i="6"/>
  <c r="G12" i="3" s="1"/>
  <c r="L16" i="6"/>
  <c r="F12" i="3" s="1"/>
  <c r="K16" i="6"/>
  <c r="E12" i="3" s="1"/>
  <c r="J16" i="6"/>
  <c r="D12" i="3" s="1"/>
  <c r="I10" i="6"/>
  <c r="I11" i="6"/>
  <c r="I12" i="6"/>
  <c r="I13" i="6"/>
  <c r="I14" i="6"/>
  <c r="I15" i="6"/>
  <c r="P15" i="6"/>
  <c r="P14" i="6"/>
  <c r="P12" i="6"/>
  <c r="P11" i="6"/>
  <c r="P10" i="6"/>
  <c r="A7" i="6"/>
  <c r="A6" i="6"/>
  <c r="M5" i="6"/>
  <c r="G5" i="6"/>
  <c r="B5" i="6"/>
  <c r="K20" i="5"/>
  <c r="A18" i="5"/>
  <c r="N16" i="5"/>
  <c r="I11" i="3" s="1"/>
  <c r="M16" i="5"/>
  <c r="H11" i="3" s="1"/>
  <c r="L16" i="5"/>
  <c r="G11" i="3" s="1"/>
  <c r="K16" i="5"/>
  <c r="F11" i="3" s="1"/>
  <c r="J16" i="5"/>
  <c r="E11" i="3" s="1"/>
  <c r="I16" i="5"/>
  <c r="D11" i="3" s="1"/>
  <c r="H16" i="5"/>
  <c r="C11" i="3" s="1"/>
  <c r="O15" i="5"/>
  <c r="O14" i="5"/>
  <c r="O13" i="5"/>
  <c r="O12" i="5"/>
  <c r="O11" i="5"/>
  <c r="A7" i="5"/>
  <c r="A6" i="5"/>
  <c r="L5" i="5"/>
  <c r="G5" i="5"/>
  <c r="B5" i="5"/>
  <c r="M48" i="4"/>
  <c r="A46" i="4"/>
  <c r="P44" i="4"/>
  <c r="O44" i="4"/>
  <c r="N44" i="4"/>
  <c r="M44" i="4"/>
  <c r="L44" i="4"/>
  <c r="K44" i="4"/>
  <c r="A9" i="4"/>
  <c r="A8" i="4"/>
  <c r="N7" i="4"/>
  <c r="H7" i="4"/>
  <c r="C7" i="4"/>
  <c r="G22" i="3"/>
  <c r="B20" i="3"/>
  <c r="B8" i="3"/>
  <c r="B7" i="3"/>
  <c r="J6" i="3"/>
  <c r="E6" i="3"/>
  <c r="C6" i="3"/>
  <c r="N15" i="10" l="1"/>
  <c r="I16" i="6"/>
  <c r="C12" i="3" s="1"/>
  <c r="M14" i="9"/>
  <c r="C15" i="3" s="1"/>
  <c r="H18" i="3"/>
  <c r="I18" i="3"/>
  <c r="E17" i="3"/>
  <c r="E18" i="3" s="1"/>
  <c r="G17" i="3"/>
  <c r="G18" i="3" s="1"/>
  <c r="N22" i="8"/>
  <c r="J14" i="3" s="1"/>
  <c r="D17" i="3"/>
  <c r="D18" i="3" s="1"/>
  <c r="Q44" i="4"/>
  <c r="J44" i="4"/>
  <c r="J17" i="3" l="1"/>
  <c r="J18" i="3" s="1"/>
  <c r="J10" i="3"/>
  <c r="F10" i="3"/>
  <c r="C10" i="3"/>
  <c r="C17" i="3" s="1"/>
  <c r="C18" i="3" l="1"/>
  <c r="F17" i="3"/>
  <c r="F18" i="3" s="1"/>
</calcChain>
</file>

<file path=xl/sharedStrings.xml><?xml version="1.0" encoding="utf-8"?>
<sst xmlns="http://schemas.openxmlformats.org/spreadsheetml/2006/main" count="480" uniqueCount="191">
  <si>
    <t>Etat Récapitulatif des Dépenses (ERD) - REGLES APPLICABLES</t>
  </si>
  <si>
    <r>
      <rPr>
        <b/>
        <sz val="11"/>
        <rFont val="Arial"/>
        <family val="2"/>
      </rPr>
      <t>*</t>
    </r>
    <r>
      <rPr>
        <sz val="11"/>
        <rFont val="Arial"/>
        <family val="2"/>
      </rPr>
      <t xml:space="preserve">Les dépenses d'exploitation </t>
    </r>
    <r>
      <rPr>
        <b/>
        <sz val="11"/>
        <rFont val="Arial"/>
        <family val="2"/>
      </rPr>
      <t>du projet</t>
    </r>
    <r>
      <rPr>
        <sz val="11"/>
        <rFont val="Arial"/>
        <family val="2"/>
      </rPr>
      <t xml:space="preserve"> (exceptées provisions, produits/charges à payer, produits/charges constatées d'avance, pertes d'exploitation) sont extraites du </t>
    </r>
    <r>
      <rPr>
        <b/>
        <sz val="11"/>
        <rFont val="Arial"/>
        <family val="2"/>
      </rPr>
      <t xml:space="preserve">logiciel de comptabilité du bénéficiaire. 
</t>
    </r>
    <r>
      <rPr>
        <sz val="11"/>
        <rFont val="Arial"/>
        <family val="2"/>
      </rPr>
      <t xml:space="preserve">
</t>
    </r>
    <r>
      <rPr>
        <b/>
        <sz val="11"/>
        <rFont val="Arial"/>
        <family val="2"/>
      </rPr>
      <t>*</t>
    </r>
    <r>
      <rPr>
        <sz val="11"/>
        <rFont val="Arial"/>
        <family val="2"/>
      </rPr>
      <t xml:space="preserve">Chaque ligne de dépense est présentée </t>
    </r>
    <r>
      <rPr>
        <b/>
        <sz val="11"/>
        <rFont val="Arial"/>
        <family val="2"/>
      </rPr>
      <t>par</t>
    </r>
    <r>
      <rPr>
        <sz val="11"/>
        <rFont val="Arial"/>
        <family val="2"/>
      </rPr>
      <t xml:space="preserve"> </t>
    </r>
    <r>
      <rPr>
        <b/>
        <sz val="11"/>
        <rFont val="Arial"/>
        <family val="2"/>
      </rPr>
      <t>nature de dépenses, cf. onglets 1 à 7</t>
    </r>
    <r>
      <rPr>
        <sz val="11"/>
        <rFont val="Arial"/>
        <family val="2"/>
      </rPr>
      <t xml:space="preserve">. Pour chaque ligne de dépense, le motif de la dépense doit être </t>
    </r>
    <r>
      <rPr>
        <b/>
        <sz val="11"/>
        <rFont val="Arial"/>
        <family val="2"/>
      </rPr>
      <t>clairement explicité</t>
    </r>
    <r>
      <rPr>
        <sz val="11"/>
        <rFont val="Arial"/>
        <family val="2"/>
      </rPr>
      <t>. 
*</t>
    </r>
    <r>
      <rPr>
        <b/>
        <sz val="11"/>
        <rFont val="Arial"/>
        <family val="2"/>
      </rPr>
      <t>La date ou la période de la dépense</t>
    </r>
    <r>
      <rPr>
        <sz val="11"/>
        <rFont val="Arial"/>
        <family val="2"/>
      </rPr>
      <t xml:space="preserve"> (date de facture, date de mission, relevé de temps passé, période d'amortissement...) doit être comprise entre la date de prise en compte des dépenses éligibles fixée dans les Conditions Particulières (ou depuis la date J+1 de fin de période de l'ERD précédent) et la date de fin présenté par l'ERD.
</t>
    </r>
    <r>
      <rPr>
        <b/>
        <sz val="11"/>
        <rFont val="Arial"/>
        <family val="2"/>
      </rPr>
      <t>*Les montants sont présentés HTR</t>
    </r>
    <r>
      <rPr>
        <sz val="11"/>
        <rFont val="Arial"/>
        <family val="2"/>
      </rPr>
      <t xml:space="preserve"> : déduction faite de la TVA récupérable auprès du Trésor Public ou compensée via le Fonds de Compensation de la TVA.  Ils sont inscrits et arrondis aux centimes, l’exactitude arithmétique des calculs devra être vérifiée.
</t>
    </r>
    <r>
      <rPr>
        <b/>
        <sz val="11"/>
        <rFont val="Arial"/>
        <family val="2"/>
      </rPr>
      <t>*Toute dépense oubliée</t>
    </r>
    <r>
      <rPr>
        <sz val="11"/>
        <rFont val="Arial"/>
        <family val="2"/>
      </rPr>
      <t xml:space="preserve"> lors d'un "ERD Intermédiaire" pourra être ajoutée à l'ERD de solde
</t>
    </r>
    <r>
      <rPr>
        <b/>
        <sz val="11"/>
        <rFont val="Arial"/>
        <family val="2"/>
      </rPr>
      <t>*</t>
    </r>
    <r>
      <rPr>
        <sz val="11"/>
        <rFont val="Arial"/>
        <family val="2"/>
      </rPr>
      <t>Les dépenses présentées sont libellées</t>
    </r>
    <r>
      <rPr>
        <b/>
        <sz val="11"/>
        <rFont val="Arial"/>
        <family val="2"/>
      </rPr>
      <t xml:space="preserve"> en euro</t>
    </r>
    <r>
      <rPr>
        <sz val="11"/>
        <rFont val="Arial"/>
        <family val="2"/>
      </rPr>
      <t xml:space="preserve">. Les dépenses en devises sont converties en euros suivant le taux de change en vigueur au cours du jour de l'opération d'achat.  
</t>
    </r>
    <r>
      <rPr>
        <b/>
        <u/>
        <sz val="11"/>
        <rFont val="Arial"/>
        <family val="2"/>
      </rPr>
      <t>A NOTER :</t>
    </r>
    <r>
      <rPr>
        <b/>
        <sz val="11"/>
        <rFont val="Arial"/>
        <family val="2"/>
      </rPr>
      <t xml:space="preserve"> L'ADEME se réserve le droit de demander d'annexer toute pièce justificative</t>
    </r>
    <r>
      <rPr>
        <sz val="11"/>
        <rFont val="Arial"/>
        <family val="2"/>
      </rPr>
      <t xml:space="preserve"> (relevé du temps passé, factures, états des imobilisations/amortissements,...). Ces pièces seront conservées par l'ordonnateur de l'ADEME.</t>
    </r>
  </si>
  <si>
    <t xml:space="preserve"> Règles applicables à la prise en compte des dépenses suivant les rubriques de l'ERD</t>
  </si>
  <si>
    <r>
      <rPr>
        <b/>
        <sz val="11"/>
        <rFont val="Arial"/>
        <family val="2"/>
      </rPr>
      <t xml:space="preserve">Salaires chargés
</t>
    </r>
    <r>
      <rPr>
        <sz val="11"/>
        <rFont val="Arial"/>
        <family val="2"/>
      </rPr>
      <t xml:space="preserve"> (non environnés)</t>
    </r>
  </si>
  <si>
    <r>
      <rPr>
        <sz val="11"/>
        <rFont val="Arial"/>
        <family val="2"/>
      </rPr>
      <t xml:space="preserve">Ces dépenses sont constituées </t>
    </r>
    <r>
      <rPr>
        <u/>
        <sz val="11"/>
        <rFont val="Arial"/>
        <family val="2"/>
      </rPr>
      <t xml:space="preserve">des salaires bruts + les charges sociales et fiscales associées </t>
    </r>
    <r>
      <rPr>
        <sz val="11"/>
        <rFont val="Arial"/>
        <family val="2"/>
      </rPr>
      <t xml:space="preserve">(PCG : 6247, 631, 633, 641, 645, 647, 648)
</t>
    </r>
    <r>
      <rPr>
        <i/>
        <sz val="11"/>
        <rFont val="Arial"/>
        <family val="2"/>
      </rPr>
      <t xml:space="preserve">Ne doivent figurer, dans l'ERD, que les dépenses des personnels rémunérés par le bénéficiaire dont les heures effectuées sur le projet sont  justifiables par un relevé du temps passé. 
</t>
    </r>
    <r>
      <rPr>
        <sz val="11"/>
        <rFont val="Arial"/>
        <family val="2"/>
      </rPr>
      <t xml:space="preserve">
</t>
    </r>
  </si>
  <si>
    <r>
      <rPr>
        <b/>
        <sz val="11"/>
        <rFont val="Arial"/>
        <family val="2"/>
      </rPr>
      <t xml:space="preserve">Salaires chargés
</t>
    </r>
    <r>
      <rPr>
        <sz val="11"/>
        <rFont val="Arial"/>
        <family val="2"/>
      </rPr>
      <t xml:space="preserve"> (non environnés)
</t>
    </r>
    <r>
      <rPr>
        <b/>
        <sz val="11"/>
        <rFont val="Arial"/>
        <family val="2"/>
      </rPr>
      <t>du personnel de la fonction publique</t>
    </r>
  </si>
  <si>
    <r>
      <rPr>
        <sz val="11"/>
        <rFont val="Arial"/>
        <family val="2"/>
      </rPr>
      <t xml:space="preserve">Les règles énoncées ci-dessus sont également applicables aux dépenses de personnel de la fonction publique (Etat, Territoriale, Hospitalière). 
</t>
    </r>
    <r>
      <rPr>
        <i/>
        <sz val="11"/>
        <rFont val="Arial"/>
        <family val="2"/>
      </rPr>
      <t>Attention : ces dépenses entrent dans le coût de l'opération mais ne sont pas éligibles.</t>
    </r>
  </si>
  <si>
    <t>Unité de temps, nombre d'unités et coût unitaire</t>
  </si>
  <si>
    <r>
      <rPr>
        <sz val="11"/>
        <rFont val="Arial"/>
        <family val="2"/>
      </rPr>
      <t xml:space="preserve">L'unité de temps peut être le mois, le jour, l'heure. Le nombre d'unités doivent être justifiées par un relevé du temps passé sur le projet.
</t>
    </r>
    <r>
      <rPr>
        <i/>
        <sz val="11"/>
        <rFont val="Arial"/>
        <family val="2"/>
      </rPr>
      <t>La méthode de calcul du coût unitaire devra être expliquée. Ainsi, le nombre d'unités annuelles "prestables" permettant de calculer le coût unitaire devra être réaliste. Ce nombre d'unités "prestables" sur un an devra tenir compte, notamment, de la prise des congés, de la formation des personnes, ...</t>
    </r>
  </si>
  <si>
    <r>
      <rPr>
        <b/>
        <sz val="11"/>
        <rFont val="Arial"/>
        <family val="2"/>
      </rPr>
      <t xml:space="preserve">Sous-traitance
</t>
    </r>
    <r>
      <rPr>
        <sz val="11"/>
        <rFont val="Arial"/>
        <family val="2"/>
      </rPr>
      <t xml:space="preserve"> (détail par fournisseur)</t>
    </r>
  </si>
  <si>
    <t>Le terme « sous-traitance » doit être entendu au sens de l’opération par laquelle le partenaire-bénéficiaire confie à un tiers le soin d’exécuter pour elle et dans le cadre du projet, une partie des productions ou services dont elle conserve la responsabilité contractuelle (PCG : 611, 621). 
Dans l'ERD, figurent les factures établies au nom du bénéficiaire (commandes et devis ne sont pas recevables). 
Les dépenses de communication/marketing, d’homologation/certification/normalisation ne sont pas éligibles. Les frais de certification de l'ERD Final du Commissaire Aux Comptes, même s'ils sont postérieurs à l'Etape Clé Finale, sont éligibles, à condition qu'ils aient été acquités au moment de l'envoi de l'ERD Final à l'ADEME. Aucune autre dérogation ne sera accordée.</t>
  </si>
  <si>
    <r>
      <rPr>
        <b/>
        <sz val="11"/>
        <rFont val="Arial"/>
        <family val="2"/>
      </rPr>
      <t>Refacturation interne</t>
    </r>
    <r>
      <rPr>
        <sz val="11"/>
        <rFont val="Arial"/>
        <family val="2"/>
      </rPr>
      <t xml:space="preserve"> 
(entité affectée au même numéro de SIREN)
</t>
    </r>
    <r>
      <rPr>
        <b/>
        <sz val="11"/>
        <rFont val="Arial"/>
        <family val="2"/>
      </rPr>
      <t xml:space="preserve"> </t>
    </r>
  </si>
  <si>
    <r>
      <rPr>
        <sz val="11"/>
        <rFont val="Arial"/>
        <family val="2"/>
      </rPr>
      <t xml:space="preserve">Ces dépenses ne font pas l’objet d’une facturation par des tiers (dépenses inter établissement par exemple) et ne figurent pas dans les autres rubriques de l'ERD.
Ce sont des dépenses afférentes aux coûts directs de production et nécessaires à l’exécution du projet ; peuvent être prises en compte des dépenses afférentes à des travaux de fabrication, de montage, de manipulation, indispensables à la réalisation du projet et réalisés par des personnels (ouvriers, monteurs, assistants techniciens,…) appartenant au bénéficiaire.
Celles-ci devront :
- être calculées sur une base précise d'unités d'oeuvre (heure / lots / etc…) 
- être justifiées de façon précise quant à leur quotité affectée au projet 
- pouvoir faire l'objet </t>
    </r>
    <r>
      <rPr>
        <b/>
        <sz val="11"/>
        <rFont val="Arial"/>
        <family val="2"/>
      </rPr>
      <t xml:space="preserve">d'une certification par l'Agent comptable (établissements publics), un commissaire aux comptes ou un expert comptable externe (entreprises privées), </t>
    </r>
    <r>
      <rPr>
        <sz val="11"/>
        <rFont val="Arial"/>
        <family val="2"/>
      </rPr>
      <t xml:space="preserve">quant à leur montant par unité choisie. 
</t>
    </r>
  </si>
  <si>
    <t xml:space="preserve">Frais de mission
</t>
  </si>
  <si>
    <t xml:space="preserve">Les missions (PCG : 6251, 6256) sont effectuées par les salariés listés dans le poste "Salaires chargés" de l'ERD présenté. 
Le motif du déplacement par rapport au projet est clairement précisé ; le mode de transport et/ou d'hébergement n'est pas suffisant. Commandes et devis ne sont pas recevables.
</t>
  </si>
  <si>
    <t>Autres coûts</t>
  </si>
  <si>
    <t>Dans l'ERD, figurent les factures établies au nom du bénéficiaire (commandes et devis ne sont pas recevables).</t>
  </si>
  <si>
    <t>Contributions aux amortissements</t>
  </si>
  <si>
    <r>
      <rPr>
        <sz val="11"/>
        <rFont val="Arial"/>
        <family val="2"/>
      </rPr>
      <t xml:space="preserve">Ce sont les amortissements des immobilisations ayant concourues à l'opération, calculés conformément aux normes comptables.
Seule la quote-part des coûts d'amortissements proratisés à la période de l'ERD présenté est jugée admissible.
</t>
    </r>
  </si>
  <si>
    <t>Coûts connexes</t>
  </si>
  <si>
    <t xml:space="preserve">Les coûts connexes (ou coûts indirects), sont les coûts qui concourent à la réalisation du projet sans toutefois pouvoir être directement attribués à celle-ci. Lorsque ces coûts sont déclarés éligibles et retenus, ils sont calculés par application d'un des forfaits existants. 
</t>
  </si>
  <si>
    <t>Dépenses d'équipement / investissement</t>
  </si>
  <si>
    <t xml:space="preserve">Pour les projets d'industrialisation, l'ensemble des immobilisations corporelles et incorporelles nécessaires à la réalisation du projet, les terrains étant non éligibles. Dans cet onglet, ne doivent figurer que les biens dont la totalité du coût est considéré comme coût éligible, sans tenir compte de la durée d'usage ou d'amortissement du bien chez le bénéficiaire de l'aide. 
</t>
  </si>
  <si>
    <t>Merci de remplir toutes les informations demandées ci-dessous</t>
  </si>
  <si>
    <t>Nom du projet</t>
  </si>
  <si>
    <t>PSI-BIOM</t>
  </si>
  <si>
    <t>N° Convention</t>
  </si>
  <si>
    <t>Nom bénéficiaire</t>
  </si>
  <si>
    <t>Numéro SIREN Bénéficiaire</t>
  </si>
  <si>
    <t>Type bénéficiaire</t>
  </si>
  <si>
    <t>Forfait dépenses connexes</t>
  </si>
  <si>
    <t>Nom (signataire)</t>
  </si>
  <si>
    <t>Prénom (signataire)</t>
  </si>
  <si>
    <t>Fonction (signataire)</t>
  </si>
  <si>
    <t>Numero Etape clé</t>
  </si>
  <si>
    <t>Période de référence ERD</t>
  </si>
  <si>
    <t>Début</t>
  </si>
  <si>
    <t>Fin</t>
  </si>
  <si>
    <t xml:space="preserve">La déclaration des dépenses se fait dans les onglets 1- à 6- </t>
  </si>
  <si>
    <r>
      <rPr>
        <b/>
        <sz val="13"/>
        <color rgb="FFFF0000"/>
        <rFont val="Arial"/>
        <family val="2"/>
      </rPr>
      <t>NE RIEN TOUCHER</t>
    </r>
    <r>
      <rPr>
        <sz val="13"/>
        <rFont val="Arial"/>
        <family val="2"/>
      </rPr>
      <t xml:space="preserve"> dans cet onglet - A imprimer une que fois les onglets 1- à 6- sont correctement complétés
Si des cellules apparaissent en rouge, alors la répartition NE/RF/RI/DE/PE/RD n'est pas cohérente</t>
    </r>
  </si>
  <si>
    <t>A ETABLIR SUR PAPIER A EN-TETE</t>
  </si>
  <si>
    <t>ETAT RECAPITULATIF DE DEPENSES
Pour les activités relatives aux aides à la recherche, au développement et à l’innovation</t>
  </si>
  <si>
    <t>Projet :</t>
  </si>
  <si>
    <t xml:space="preserve">Bénéficiaire : </t>
  </si>
  <si>
    <t xml:space="preserve">N° Convention : </t>
  </si>
  <si>
    <t>Nature de la dépense par poste</t>
  </si>
  <si>
    <t>Montant total de l'opération</t>
  </si>
  <si>
    <t>Non éligible</t>
  </si>
  <si>
    <t>RF</t>
  </si>
  <si>
    <t>RI</t>
  </si>
  <si>
    <t>DE</t>
  </si>
  <si>
    <t>PE</t>
  </si>
  <si>
    <t>RD</t>
  </si>
  <si>
    <t xml:space="preserve"> Total_x005F_x000a_éligible</t>
  </si>
  <si>
    <t>Salaire chargés (non environnés)</t>
  </si>
  <si>
    <t>Sous-traitance</t>
  </si>
  <si>
    <t>Refacturation interne</t>
  </si>
  <si>
    <t>Frais de missions</t>
  </si>
  <si>
    <t>Dépenses connexes</t>
  </si>
  <si>
    <t>TOTAL GENERAL</t>
  </si>
  <si>
    <t>SIREN Entreprise :</t>
  </si>
  <si>
    <t>Date :</t>
  </si>
  <si>
    <t xml:space="preserve">Signature: </t>
  </si>
  <si>
    <r>
      <rPr>
        <b/>
        <sz val="11"/>
        <rFont val="Arial"/>
        <family val="2"/>
      </rPr>
      <t xml:space="preserve">Merci de remplir les cases saumons de ce tableau et d'effectuer la répartition NE/RF/RI/DE en vous référant à votre annexe financière.
</t>
    </r>
    <r>
      <rPr>
        <b/>
        <sz val="11"/>
        <color rgb="FFFF0000"/>
        <rFont val="Arial"/>
        <family val="2"/>
      </rPr>
      <t xml:space="preserve">Toutes les informations attendues dans les colonnes doivent être renseignées pour que la dépense soit considérée comme éligible.
</t>
    </r>
    <r>
      <rPr>
        <sz val="11"/>
        <rFont val="Arial"/>
        <family val="2"/>
      </rPr>
      <t xml:space="preserve">Vous pouvez ajouter/insérer des lignes si besoin et supprimer les lignes supperflues.
Attention : </t>
    </r>
    <r>
      <rPr>
        <b/>
        <sz val="11"/>
        <rFont val="Arial"/>
        <family val="2"/>
      </rPr>
      <t xml:space="preserve">NE PAS TOUCHER/SUPPRIMER la ligne Total </t>
    </r>
    <r>
      <rPr>
        <sz val="11"/>
        <rFont val="Arial"/>
        <family val="2"/>
      </rPr>
      <t>(nécessaire pour la synthèse)</t>
    </r>
  </si>
  <si>
    <t>Ces dépenses sont constituées des salaires bruts + les charges sociales et fiscales associées (PCG : 6247, 631, 633, 641, 645, 647, 648)</t>
  </si>
  <si>
    <t xml:space="preserve">Salaires chargés (non environnés) du personnel de la fonction publiqueLes règles énoncées ci-dessus sont également applicables aux dépenses de personnel de la fonction publique (Etat, Territoriale, Hospitalière). </t>
  </si>
  <si>
    <t>Attention : ces dépenses entrent dans le coût de l'opération mais ne sont pas éligibles.</t>
  </si>
  <si>
    <t xml:space="preserve">Projet : </t>
  </si>
  <si>
    <t>Nom et prénom ou matricule</t>
  </si>
  <si>
    <t>Type d'emploi (non applicable si entreprise privée)</t>
  </si>
  <si>
    <t>Fonction / Intitulé du poste</t>
  </si>
  <si>
    <t>Tâches ou lot</t>
  </si>
  <si>
    <t>Date de début</t>
  </si>
  <si>
    <t>Date de fin</t>
  </si>
  <si>
    <t>Unité de temps</t>
  </si>
  <si>
    <t>Nombre d'unité</t>
  </si>
  <si>
    <t>Coût unitaire de la grille salariale  (salaire chargé non environné)</t>
  </si>
  <si>
    <t>Montant total de l'opération en €</t>
  </si>
  <si>
    <t>Total Salaires</t>
  </si>
  <si>
    <t>Le terme « sous-traitance » doit être entendu au sens de l’opération par laquelle le partenaire-bénéficiaire confie à un tiers le soin d’exécuter pour elle et dans le cadre du projet, une partie des productions ou services dont elle conserve la responsabilité contractuelle (PCG : 611, 621). Dans l'ERD, figurent les factures établies au nom du bénéficiaire (commandes et devis ne sont pas recevables). Les dépenses de communication/marketing, d’homologation/certification/normalisation ne sont pas éligibles.</t>
  </si>
  <si>
    <t>Fournisseur</t>
  </si>
  <si>
    <t>Désignation / Objet de la dépense</t>
  </si>
  <si>
    <t>Tâche ou lot</t>
  </si>
  <si>
    <t>N° Facture</t>
  </si>
  <si>
    <t>Pays de réalisation de la prestation</t>
  </si>
  <si>
    <t>Date facture</t>
  </si>
  <si>
    <t>ECI*=Prestation réalisée ECF**=Facture acquitée</t>
  </si>
  <si>
    <t>Total Sous-traitance</t>
  </si>
  <si>
    <t>*ECI = Etape Clé Intermédiaire : Sélectionnez OUI si la prestation est réalisée.</t>
  </si>
  <si>
    <t>**ECF = Etape Clé Finale : Sélectionnez OUI si la prestation est acquitée.</t>
  </si>
  <si>
    <r>
      <rPr>
        <b/>
        <sz val="11"/>
        <rFont val="Arial"/>
        <family val="2"/>
      </rPr>
      <t xml:space="preserve">Merci de remplir les cases saumons de ce tableau et d'effectuer la répartition NE/RF/RI/DE en vous référant à votre annexe financière. 
</t>
    </r>
    <r>
      <rPr>
        <b/>
        <sz val="11"/>
        <color rgb="FFFF0000"/>
        <rFont val="Arial"/>
        <family val="2"/>
      </rPr>
      <t xml:space="preserve">Toutes les informations attendues dans les colonnes doivent être renseignées pour que la dépense soit considérée comme éligible.
</t>
    </r>
    <r>
      <rPr>
        <sz val="11"/>
        <rFont val="Arial"/>
        <family val="2"/>
      </rPr>
      <t xml:space="preserve">Vous pouvez ajouter/insérer des lignes si besoin et supprimer les lignes supperflues.
Attention : </t>
    </r>
    <r>
      <rPr>
        <b/>
        <sz val="11"/>
        <rFont val="Arial"/>
        <family val="2"/>
      </rPr>
      <t xml:space="preserve">NE PAS TOUCHER/SUPPRIMER la ligne Total </t>
    </r>
    <r>
      <rPr>
        <sz val="11"/>
        <rFont val="Arial"/>
        <family val="2"/>
      </rPr>
      <t>(nécessaire pour la synthèse)</t>
    </r>
  </si>
  <si>
    <t xml:space="preserve">Ces dépenses ne font pas l’objet d’une facturation par des tiers, seulement les entités affectées au même numéro de SIREN (dépenses inter établissement par exemple) et ne figurent pas dans les autres rubriques de l'ERD.
Ce sont des dépenses afférentes aux coûts directs de production et nécessaires à l’exécution du projet ; peuvent être prises en compte des dépenses afférentes à des travaux de fabrication, de montage, de manipulation, indispensables à la réalisation du projet et réalisés par des personnels (ouvriers, monteurs, assistants techniciens,…) appartenant au bénéficiaire.
Celles-ci devront : être calculées sur une base précise d'unités d'oeuvre (heure / lots / etc…), être justifiées de façon précise quant à leur quotité affectée au projet, pouvoir faire l'objet d'une certification par l'Agent comptable (établissements publics), un commissaire aux comptes ou un expert comptable externe (entreprises privées), quant à leur montant par unité choisie. </t>
  </si>
  <si>
    <t>Fournisseur interne / Nom</t>
  </si>
  <si>
    <t>Numéro dépense ou référence interne</t>
  </si>
  <si>
    <t>Date dépense</t>
  </si>
  <si>
    <t>Coût unitaire</t>
  </si>
  <si>
    <t>Total Refacturation interne</t>
  </si>
  <si>
    <t>Les missions (PCG : 6251, 6256) sont effectuées par les salariés listés dans le poste "Salaires chargés" de l'ERD présenté. 
Le motif du déplacement par rapport au projet est clairement précisé ; le mode de transport et/ou d'hébergement n'est pas suffisant. Commandes et devis ne sont pas recevables.</t>
  </si>
  <si>
    <t>Motif de la mission</t>
  </si>
  <si>
    <t>N° Facture ou référence interne (si note de frais)</t>
  </si>
  <si>
    <t>Date facture ou pièce</t>
  </si>
  <si>
    <t>Total Frais de missions</t>
  </si>
  <si>
    <t xml:space="preserve">Autres coûts </t>
  </si>
  <si>
    <t>Total Autres coûts</t>
  </si>
  <si>
    <t>Ce sont les amortissements des immobilisations ayant concourues à l'opération, calculés conformément aux normes comptables.
Seule la quote-part des coûts d'amortissements proratisés à la période de l'ERD présenté est jugée admissible.
Si le type d'amortissement choisi est dégressif alors merci de faire parvenir les justificatifs avec votre ERD</t>
  </si>
  <si>
    <t>Amortissements</t>
  </si>
  <si>
    <t>Fournisseur d'immobilisation</t>
  </si>
  <si>
    <t>Date début amortissement</t>
  </si>
  <si>
    <t>Valeur d'origine en €</t>
  </si>
  <si>
    <t>Durée d'amortissement comptable (en année)</t>
  </si>
  <si>
    <t>Taux d'amortissement comptable</t>
  </si>
  <si>
    <t>Type linéaire (L) ou dégressif (D)</t>
  </si>
  <si>
    <t>Montant amortissement annuel en €</t>
  </si>
  <si>
    <t>Montant  justifié sur période ERD</t>
  </si>
  <si>
    <t>Quote part d'utilisation sur le projet  (en %)</t>
  </si>
  <si>
    <t>Total Amortissements</t>
  </si>
  <si>
    <t>ECI*=Bien livré ECF**=Facture acquitée</t>
  </si>
  <si>
    <t>UNIVERSITE DE TOULON</t>
  </si>
  <si>
    <t>Public</t>
  </si>
  <si>
    <t>C - 4% des dépenses d'équiment + 8% des autres dépenses éligibles</t>
  </si>
  <si>
    <t>PAS DE DEPENSES</t>
  </si>
  <si>
    <t xml:space="preserve">SOPHIE AMAND demande d'utiliser l'HEURE comme unité de temps </t>
  </si>
  <si>
    <t>Pas de valorisation de temps passé (salaires) pour H. GLOTIN et S.PARIS car employés de la fonction publique : une même dépense ne peut être financée 2 fois par des fonds publics.</t>
  </si>
  <si>
    <r>
      <t xml:space="preserve">Salaires </t>
    </r>
    <r>
      <rPr>
        <b/>
        <sz val="13"/>
        <color rgb="FFFF0000"/>
        <rFont val="Arial"/>
        <family val="2"/>
      </rPr>
      <t>(Chargés non environnés)</t>
    </r>
  </si>
  <si>
    <t>Numéro de pièce comptable facturation</t>
  </si>
  <si>
    <t>Date de 
paiement</t>
  </si>
  <si>
    <t>DELOUSTAL Nicolas</t>
  </si>
  <si>
    <t xml:space="preserve">HERMET Thomas </t>
  </si>
  <si>
    <t>Non permanent</t>
  </si>
  <si>
    <t>CHAVIN Stéphane</t>
  </si>
  <si>
    <t>CDD IGE</t>
  </si>
  <si>
    <t>Pour le Président et par délégation TIXIDOR</t>
  </si>
  <si>
    <t>Stéphanie</t>
  </si>
  <si>
    <t xml:space="preserve"> 2182D0406-C</t>
  </si>
  <si>
    <t>Mois</t>
  </si>
  <si>
    <t>Stagiaire janvier 2023</t>
  </si>
  <si>
    <t>Stagiaire février 2023</t>
  </si>
  <si>
    <t>Stagiaire mars 2023</t>
  </si>
  <si>
    <t>Stagiaire avril 2023</t>
  </si>
  <si>
    <t>Stagiaire mai 2023</t>
  </si>
  <si>
    <t>Stagiaire juin 2023</t>
  </si>
  <si>
    <t>Stagiaire février 2025</t>
  </si>
  <si>
    <t>Stagiaire mars 2025</t>
  </si>
  <si>
    <t>Stagiaire avril 2025</t>
  </si>
  <si>
    <t>30003364</t>
  </si>
  <si>
    <t>30005220</t>
  </si>
  <si>
    <t>30005374</t>
  </si>
  <si>
    <t>30007198</t>
  </si>
  <si>
    <t>HP FRANCE SAS</t>
  </si>
  <si>
    <t>DELL</t>
  </si>
  <si>
    <t>ORDINATEUR PORTABLE HP EliteBook 840 x 3</t>
  </si>
  <si>
    <t>Moniteur 24" - Dell P2422HE x 5</t>
  </si>
  <si>
    <t>9048083182</t>
  </si>
  <si>
    <t>1406722957</t>
  </si>
  <si>
    <t>Oui</t>
  </si>
  <si>
    <t>30008235</t>
  </si>
  <si>
    <t>30007725</t>
  </si>
  <si>
    <t>HEWKETT PACKARD</t>
  </si>
  <si>
    <t>HPE DL385 G10 + v3 8SFF CTO Serveur
Facture d'un montant de 11 831,34€ TTC hors TVA déductible. Utilisation sur 2 ans du 20/12/22 au 20/12/24.</t>
  </si>
  <si>
    <t>L</t>
  </si>
  <si>
    <t>PREVOT Philemon</t>
  </si>
  <si>
    <t>FERRE Lisa</t>
  </si>
  <si>
    <t>VILLEPREUX Tristan</t>
  </si>
  <si>
    <t>PATENOTRE Gaetan</t>
  </si>
  <si>
    <t>BUISSON-BOURNOT Marie-Lou</t>
  </si>
  <si>
    <t>Stagiaire mai 2025</t>
  </si>
  <si>
    <t>DARTY GRAND EST</t>
  </si>
  <si>
    <t>0280866520</t>
  </si>
  <si>
    <t>SSD externe Samsung x5 + enregistreur multipiste ZOOM F6</t>
  </si>
  <si>
    <t>BOULANGER</t>
  </si>
  <si>
    <t>Carte micro SD Samsung 1To x4</t>
  </si>
  <si>
    <t>F2535284589</t>
  </si>
  <si>
    <t>Stagiaire juin 2025</t>
  </si>
  <si>
    <t>Moniteur 24" DELL P2425HE</t>
  </si>
  <si>
    <t>PORTABLE HP ELITEBOOK 840 G11</t>
  </si>
  <si>
    <t>CHAREYRE Adam</t>
  </si>
  <si>
    <t>COLIN Matthias</t>
  </si>
  <si>
    <t>Directrice de la Direction des Finances et des Achats</t>
  </si>
  <si>
    <t>Solde</t>
  </si>
  <si>
    <t>Abonnement frais transport trajet domicile/université</t>
  </si>
  <si>
    <t>Trajet domicile / lieu du stage</t>
  </si>
  <si>
    <t>TOTAL</t>
  </si>
  <si>
    <t>2.1</t>
  </si>
  <si>
    <t>2.2</t>
  </si>
  <si>
    <t>4.6</t>
  </si>
  <si>
    <t>1.1,1.2</t>
  </si>
  <si>
    <t>2.2,3.1, 4.6</t>
  </si>
  <si>
    <t>3.1, 4.6</t>
  </si>
  <si>
    <t>4.2, 4.4, 4.6</t>
  </si>
  <si>
    <t>4.5,4.6</t>
  </si>
  <si>
    <t>2.1,4.5,4.6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</si>
</sst>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quot; €&quot;_-;\-* #,##0.00&quot; €&quot;_-;_-* \-??&quot; €&quot;_-;_-@_-"/>
    <numFmt numFmtId="165" formatCode="0\ %"/>
    <numFmt numFmtId="166" formatCode="_-* #,##0.00\ _€_-;\-* #,##0.00\ _€_-;_-* &quot;-&quot;??\ _€_-;_-@_-"/>
  </numFmts>
  <fonts count="34" x14ac:knownFonts="1">
    <font>
      <sz val="11"/>
      <color rgb="FF000000"/>
      <name val="Calibri"/>
      <charset val="1"/>
    </font>
    <font>
      <sz val="10"/>
      <name val="Arial"/>
      <family val="2"/>
    </font>
    <font>
      <sz val="11"/>
      <color rgb="FF000000"/>
      <name val="Arial"/>
      <family val="2"/>
    </font>
    <font>
      <b/>
      <sz val="14"/>
      <color rgb="FF000000"/>
      <name val="Arial"/>
      <family val="2"/>
    </font>
    <font>
      <b/>
      <sz val="11"/>
      <name val="Arial"/>
      <family val="2"/>
    </font>
    <font>
      <sz val="11"/>
      <name val="Arial"/>
      <family val="2"/>
    </font>
    <font>
      <b/>
      <u/>
      <sz val="11"/>
      <name val="Arial"/>
      <family val="2"/>
    </font>
    <font>
      <u/>
      <sz val="11"/>
      <name val="Arial"/>
      <family val="2"/>
    </font>
    <font>
      <i/>
      <sz val="11"/>
      <name val="Arial"/>
      <family val="2"/>
    </font>
    <font>
      <b/>
      <sz val="12"/>
      <name val="Arial"/>
      <family val="2"/>
    </font>
    <font>
      <b/>
      <sz val="10"/>
      <name val="Arial"/>
      <family val="2"/>
    </font>
    <font>
      <sz val="12"/>
      <name val="Arial"/>
      <family val="2"/>
    </font>
    <font>
      <b/>
      <sz val="13"/>
      <color rgb="FFFF0000"/>
      <name val="Arial"/>
      <family val="2"/>
    </font>
    <font>
      <sz val="13"/>
      <name val="Arial"/>
      <family val="2"/>
    </font>
    <font>
      <b/>
      <sz val="14"/>
      <color rgb="FFFF0000"/>
      <name val="Arial"/>
      <family val="2"/>
    </font>
    <font>
      <b/>
      <sz val="15"/>
      <color rgb="FFFFFFFF"/>
      <name val="Arial"/>
      <family val="2"/>
    </font>
    <font>
      <sz val="14"/>
      <color rgb="FF000000"/>
      <name val="Arial"/>
      <family val="2"/>
    </font>
    <font>
      <b/>
      <sz val="14"/>
      <color rgb="FFD9D9D9"/>
      <name val="Arial"/>
      <family val="2"/>
    </font>
    <font>
      <b/>
      <sz val="14"/>
      <color rgb="FFFFFFFF"/>
      <name val="Arial"/>
      <family val="2"/>
    </font>
    <font>
      <b/>
      <sz val="14"/>
      <color rgb="FFBFBFBF"/>
      <name val="Arial"/>
      <family val="2"/>
    </font>
    <font>
      <b/>
      <sz val="16"/>
      <color rgb="FFFFFFFF"/>
      <name val="Arial"/>
      <family val="2"/>
    </font>
    <font>
      <sz val="12"/>
      <color rgb="FFFFFFFF"/>
      <name val="Arial"/>
      <family val="2"/>
    </font>
    <font>
      <sz val="12"/>
      <color rgb="FF000000"/>
      <name val="Arial"/>
      <family val="2"/>
    </font>
    <font>
      <b/>
      <sz val="11"/>
      <color rgb="FF000000"/>
      <name val="Arial"/>
      <family val="2"/>
    </font>
    <font>
      <b/>
      <sz val="12"/>
      <color rgb="FF000000"/>
      <name val="Arial"/>
      <family val="2"/>
    </font>
    <font>
      <b/>
      <sz val="11"/>
      <color rgb="FFFF0000"/>
      <name val="Arial"/>
      <family val="2"/>
    </font>
    <font>
      <b/>
      <sz val="13"/>
      <color rgb="FFFFFFFF"/>
      <name val="Arial"/>
      <family val="2"/>
    </font>
    <font>
      <sz val="11"/>
      <color rgb="FFFFFFFF"/>
      <name val="Arial"/>
      <family val="2"/>
    </font>
    <font>
      <sz val="13"/>
      <color rgb="FF000000"/>
      <name val="Arial"/>
      <family val="2"/>
    </font>
    <font>
      <sz val="11"/>
      <color rgb="FF000000"/>
      <name val="Calibri"/>
      <family val="2"/>
    </font>
    <font>
      <b/>
      <sz val="11"/>
      <color rgb="FF000000"/>
      <name val="Arial"/>
      <family val="2"/>
    </font>
    <font>
      <sz val="26"/>
      <color rgb="FF000000"/>
      <name val="Arial"/>
      <family val="2"/>
    </font>
    <font>
      <sz val="11"/>
      <color rgb="FF000000"/>
      <name val="Arial"/>
      <family val="2"/>
    </font>
    <font>
      <sz val="8"/>
      <name val="Calibri"/>
      <family val="2"/>
    </font>
  </fonts>
  <fills count="17">
    <fill>
      <patternFill patternType="none"/>
    </fill>
    <fill>
      <patternFill patternType="gray125"/>
    </fill>
    <fill>
      <patternFill patternType="solid">
        <fgColor rgb="FFFFFFFF"/>
        <bgColor rgb="FFFFFFCC"/>
      </patternFill>
    </fill>
    <fill>
      <patternFill patternType="solid">
        <fgColor rgb="FFD9D9D9"/>
        <bgColor rgb="FFDCE6F1"/>
      </patternFill>
    </fill>
    <fill>
      <patternFill patternType="solid">
        <fgColor rgb="FFE2F0D9"/>
        <bgColor rgb="FFDEEBF7"/>
      </patternFill>
    </fill>
    <fill>
      <patternFill patternType="solid">
        <fgColor rgb="FFF8CBAD"/>
        <bgColor rgb="FFD9D9D9"/>
      </patternFill>
    </fill>
    <fill>
      <patternFill patternType="solid">
        <fgColor rgb="FF0000FF"/>
        <bgColor rgb="FF0000FF"/>
      </patternFill>
    </fill>
    <fill>
      <patternFill patternType="solid">
        <fgColor rgb="FF538DD5"/>
        <bgColor rgb="FF4F81BD"/>
      </patternFill>
    </fill>
    <fill>
      <patternFill patternType="solid">
        <fgColor rgb="FF4472C4"/>
        <bgColor rgb="FF4F81BD"/>
      </patternFill>
    </fill>
    <fill>
      <patternFill patternType="solid">
        <fgColor rgb="FFDCE6F1"/>
        <bgColor rgb="FFDEEBF7"/>
      </patternFill>
    </fill>
    <fill>
      <patternFill patternType="solid">
        <fgColor rgb="FF4F81BD"/>
        <bgColor rgb="FF538DD5"/>
      </patternFill>
    </fill>
    <fill>
      <patternFill patternType="solid">
        <fgColor rgb="FF92D050"/>
        <bgColor rgb="FFBFBFBF"/>
      </patternFill>
    </fill>
    <fill>
      <patternFill patternType="solid">
        <fgColor rgb="FFDEEBF7"/>
        <bgColor rgb="FFDCE6F1"/>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rgb="FFDEEBF7"/>
      </patternFill>
    </fill>
  </fills>
  <borders count="120">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medium">
        <color auto="1"/>
      </right>
      <top style="hair">
        <color auto="1"/>
      </top>
      <bottom style="hair">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style="thin">
        <color auto="1"/>
      </right>
      <top/>
      <bottom style="hair">
        <color rgb="FF0D0D0D"/>
      </bottom>
      <diagonal/>
    </border>
    <border>
      <left style="thin">
        <color auto="1"/>
      </left>
      <right style="thin">
        <color auto="1"/>
      </right>
      <top/>
      <bottom style="hair">
        <color rgb="FF0D0D0D"/>
      </bottom>
      <diagonal/>
    </border>
    <border>
      <left/>
      <right style="hair">
        <color rgb="FF0D0D0D"/>
      </right>
      <top/>
      <bottom style="hair">
        <color rgb="FF0D0D0D"/>
      </bottom>
      <diagonal/>
    </border>
    <border>
      <left style="hair">
        <color rgb="FF0D0D0D"/>
      </left>
      <right style="hair">
        <color rgb="FF0D0D0D"/>
      </right>
      <top/>
      <bottom style="hair">
        <color rgb="FF0D0D0D"/>
      </bottom>
      <diagonal/>
    </border>
    <border>
      <left/>
      <right/>
      <top/>
      <bottom style="hair">
        <color rgb="FF0D0D0D"/>
      </bottom>
      <diagonal/>
    </border>
    <border>
      <left style="thin">
        <color auto="1"/>
      </left>
      <right style="medium">
        <color auto="1"/>
      </right>
      <top/>
      <bottom style="hair">
        <color rgb="FF0D0D0D"/>
      </bottom>
      <diagonal/>
    </border>
    <border>
      <left style="medium">
        <color auto="1"/>
      </left>
      <right style="thin">
        <color auto="1"/>
      </right>
      <top style="hair">
        <color rgb="FF0D0D0D"/>
      </top>
      <bottom style="hair">
        <color rgb="FF0D0D0D"/>
      </bottom>
      <diagonal/>
    </border>
    <border>
      <left style="thin">
        <color auto="1"/>
      </left>
      <right style="thin">
        <color auto="1"/>
      </right>
      <top style="hair">
        <color rgb="FF0D0D0D"/>
      </top>
      <bottom style="hair">
        <color rgb="FF0D0D0D"/>
      </bottom>
      <diagonal/>
    </border>
    <border>
      <left/>
      <right style="hair">
        <color rgb="FF0D0D0D"/>
      </right>
      <top style="hair">
        <color rgb="FF0D0D0D"/>
      </top>
      <bottom style="hair">
        <color rgb="FF0D0D0D"/>
      </bottom>
      <diagonal/>
    </border>
    <border>
      <left style="hair">
        <color rgb="FF0D0D0D"/>
      </left>
      <right style="hair">
        <color rgb="FF0D0D0D"/>
      </right>
      <top style="hair">
        <color rgb="FF0D0D0D"/>
      </top>
      <bottom style="hair">
        <color rgb="FF0D0D0D"/>
      </bottom>
      <diagonal/>
    </border>
    <border>
      <left style="thin">
        <color auto="1"/>
      </left>
      <right style="medium">
        <color auto="1"/>
      </right>
      <top style="hair">
        <color rgb="FF0D0D0D"/>
      </top>
      <bottom style="hair">
        <color rgb="FF0D0D0D"/>
      </bottom>
      <diagonal/>
    </border>
    <border>
      <left style="thin">
        <color auto="1"/>
      </left>
      <right style="hair">
        <color auto="1"/>
      </right>
      <top style="hair">
        <color rgb="FF0D0D0D"/>
      </top>
      <bottom style="hair">
        <color rgb="FF0D0D0D"/>
      </bottom>
      <diagonal/>
    </border>
    <border>
      <left style="hair">
        <color auto="1"/>
      </left>
      <right style="hair">
        <color auto="1"/>
      </right>
      <top style="hair">
        <color rgb="FF0D0D0D"/>
      </top>
      <bottom style="hair">
        <color rgb="FF0D0D0D"/>
      </bottom>
      <diagonal/>
    </border>
    <border>
      <left style="medium">
        <color auto="1"/>
      </left>
      <right style="thin">
        <color auto="1"/>
      </right>
      <top style="hair">
        <color rgb="FF0D0D0D"/>
      </top>
      <bottom style="medium">
        <color auto="1"/>
      </bottom>
      <diagonal/>
    </border>
    <border>
      <left style="thin">
        <color auto="1"/>
      </left>
      <right style="thin">
        <color auto="1"/>
      </right>
      <top style="hair">
        <color rgb="FF0D0D0D"/>
      </top>
      <bottom style="medium">
        <color auto="1"/>
      </bottom>
      <diagonal/>
    </border>
    <border>
      <left/>
      <right style="hair">
        <color rgb="FF0D0D0D"/>
      </right>
      <top style="hair">
        <color rgb="FF0D0D0D"/>
      </top>
      <bottom style="medium">
        <color auto="1"/>
      </bottom>
      <diagonal/>
    </border>
    <border>
      <left style="hair">
        <color rgb="FF0D0D0D"/>
      </left>
      <right style="hair">
        <color rgb="FF0D0D0D"/>
      </right>
      <top style="hair">
        <color rgb="FF0D0D0D"/>
      </top>
      <bottom style="medium">
        <color auto="1"/>
      </bottom>
      <diagonal/>
    </border>
    <border>
      <left style="thin">
        <color auto="1"/>
      </left>
      <right style="medium">
        <color auto="1"/>
      </right>
      <top style="hair">
        <color rgb="FF0D0D0D"/>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hair">
        <color rgb="FF0D0D0D"/>
      </right>
      <top/>
      <bottom style="hair">
        <color rgb="FF0D0D0D"/>
      </bottom>
      <diagonal/>
    </border>
    <border>
      <left style="hair">
        <color rgb="FF0D0D0D"/>
      </left>
      <right/>
      <top/>
      <bottom style="hair">
        <color rgb="FF0D0D0D"/>
      </bottom>
      <diagonal/>
    </border>
    <border>
      <left style="medium">
        <color auto="1"/>
      </left>
      <right style="hair">
        <color rgb="FF0D0D0D"/>
      </right>
      <top style="hair">
        <color rgb="FF0D0D0D"/>
      </top>
      <bottom style="hair">
        <color rgb="FF0D0D0D"/>
      </bottom>
      <diagonal/>
    </border>
    <border>
      <left style="hair">
        <color rgb="FF0D0D0D"/>
      </left>
      <right/>
      <top style="hair">
        <color rgb="FF0D0D0D"/>
      </top>
      <bottom style="hair">
        <color rgb="FF0D0D0D"/>
      </bottom>
      <diagonal/>
    </border>
    <border>
      <left style="hair">
        <color rgb="FF0D0D0D"/>
      </left>
      <right style="thin">
        <color rgb="FF0D0D0D"/>
      </right>
      <top style="hair">
        <color rgb="FF0D0D0D"/>
      </top>
      <bottom style="hair">
        <color rgb="FF0D0D0D"/>
      </bottom>
      <diagonal/>
    </border>
    <border>
      <left/>
      <right style="thin">
        <color auto="1"/>
      </right>
      <top style="hair">
        <color rgb="FF0D0D0D"/>
      </top>
      <bottom/>
      <diagonal/>
    </border>
    <border>
      <left/>
      <right style="hair">
        <color rgb="FF0D0D0D"/>
      </right>
      <top style="hair">
        <color rgb="FF0D0D0D"/>
      </top>
      <bottom/>
      <diagonal/>
    </border>
    <border>
      <left style="hair">
        <color rgb="FF0D0D0D"/>
      </left>
      <right style="hair">
        <color rgb="FF0D0D0D"/>
      </right>
      <top style="hair">
        <color rgb="FF0D0D0D"/>
      </top>
      <bottom/>
      <diagonal/>
    </border>
    <border>
      <left style="hair">
        <color rgb="FF0D0D0D"/>
      </left>
      <right/>
      <top style="hair">
        <color rgb="FF0D0D0D"/>
      </top>
      <bottom/>
      <diagonal/>
    </border>
    <border>
      <left style="thin">
        <color auto="1"/>
      </left>
      <right style="medium">
        <color auto="1"/>
      </right>
      <top style="hair">
        <color rgb="FF0D0D0D"/>
      </top>
      <bottom/>
      <diagonal/>
    </border>
    <border>
      <left style="medium">
        <color auto="1"/>
      </left>
      <right style="hair">
        <color rgb="FF0D0D0D"/>
      </right>
      <top style="hair">
        <color rgb="FF0D0D0D"/>
      </top>
      <bottom/>
      <diagonal/>
    </border>
    <border>
      <left style="hair">
        <color rgb="FF0D0D0D"/>
      </left>
      <right style="thin">
        <color rgb="FF0D0D0D"/>
      </right>
      <top style="hair">
        <color rgb="FF0D0D0D"/>
      </top>
      <bottom/>
      <diagonal/>
    </border>
    <border>
      <left style="thin">
        <color auto="1"/>
      </left>
      <right style="thin">
        <color auto="1"/>
      </right>
      <top style="hair">
        <color rgb="FF0D0D0D"/>
      </top>
      <bottom/>
      <diagonal/>
    </border>
    <border>
      <left style="thin">
        <color auto="1"/>
      </left>
      <right style="thin">
        <color auto="1"/>
      </right>
      <top style="thin">
        <color auto="1"/>
      </top>
      <bottom style="thin">
        <color auto="1"/>
      </bottom>
      <diagonal/>
    </border>
    <border>
      <left style="thin">
        <color auto="1"/>
      </left>
      <right style="hair">
        <color rgb="FF0D0D0D"/>
      </right>
      <top style="thin">
        <color auto="1"/>
      </top>
      <bottom style="thin">
        <color auto="1"/>
      </bottom>
      <diagonal/>
    </border>
    <border>
      <left style="hair">
        <color rgb="FF0D0D0D"/>
      </left>
      <right style="hair">
        <color rgb="FF0D0D0D"/>
      </right>
      <top style="thin">
        <color auto="1"/>
      </top>
      <bottom style="thin">
        <color auto="1"/>
      </bottom>
      <diagonal/>
    </border>
    <border>
      <left style="hair">
        <color rgb="FF0D0D0D"/>
      </left>
      <right style="thin">
        <color auto="1"/>
      </right>
      <top style="thin">
        <color auto="1"/>
      </top>
      <bottom style="thin">
        <color auto="1"/>
      </bottom>
      <diagonal/>
    </border>
    <border>
      <left style="medium">
        <color auto="1"/>
      </left>
      <right style="medium">
        <color auto="1"/>
      </right>
      <top/>
      <bottom style="thin">
        <color auto="1"/>
      </bottom>
      <diagonal/>
    </border>
    <border>
      <left style="thin">
        <color auto="1"/>
      </left>
      <right style="hair">
        <color rgb="FF0D0D0D"/>
      </right>
      <top style="thin">
        <color auto="1"/>
      </top>
      <bottom style="hair">
        <color rgb="FF0D0D0D"/>
      </bottom>
      <diagonal/>
    </border>
    <border>
      <left style="hair">
        <color rgb="FF0D0D0D"/>
      </left>
      <right style="hair">
        <color rgb="FF0D0D0D"/>
      </right>
      <top style="thin">
        <color auto="1"/>
      </top>
      <bottom style="hair">
        <color rgb="FF0D0D0D"/>
      </bottom>
      <diagonal/>
    </border>
    <border>
      <left style="hair">
        <color rgb="FF0D0D0D"/>
      </left>
      <right/>
      <top style="thin">
        <color auto="1"/>
      </top>
      <bottom style="hair">
        <color rgb="FF0D0D0D"/>
      </bottom>
      <diagonal/>
    </border>
    <border>
      <left style="thin">
        <color auto="1"/>
      </left>
      <right style="thin">
        <color auto="1"/>
      </right>
      <top style="thin">
        <color auto="1"/>
      </top>
      <bottom style="hair">
        <color rgb="FF0D0D0D"/>
      </bottom>
      <diagonal/>
    </border>
    <border>
      <left style="thin">
        <color auto="1"/>
      </left>
      <right style="hair">
        <color rgb="FF0D0D0D"/>
      </right>
      <top style="hair">
        <color rgb="FF0D0D0D"/>
      </top>
      <bottom style="hair">
        <color rgb="FF0D0D0D"/>
      </bottom>
      <diagonal/>
    </border>
    <border>
      <left style="thin">
        <color auto="1"/>
      </left>
      <right style="medium">
        <color auto="1"/>
      </right>
      <top style="hair">
        <color auto="1"/>
      </top>
      <bottom style="hair">
        <color auto="1"/>
      </bottom>
      <diagonal/>
    </border>
    <border>
      <left style="medium">
        <color auto="1"/>
      </left>
      <right style="hair">
        <color rgb="FF0D0D0D"/>
      </right>
      <top style="hair">
        <color rgb="FF0D0D0D"/>
      </top>
      <bottom style="thin">
        <color auto="1"/>
      </bottom>
      <diagonal/>
    </border>
    <border>
      <left style="hair">
        <color rgb="FF0D0D0D"/>
      </left>
      <right style="hair">
        <color rgb="FF0D0D0D"/>
      </right>
      <top style="hair">
        <color rgb="FF0D0D0D"/>
      </top>
      <bottom style="thin">
        <color auto="1"/>
      </bottom>
      <diagonal/>
    </border>
    <border>
      <left style="hair">
        <color rgb="FF0D0D0D"/>
      </left>
      <right/>
      <top style="hair">
        <color rgb="FF0D0D0D"/>
      </top>
      <bottom style="thin">
        <color auto="1"/>
      </bottom>
      <diagonal/>
    </border>
    <border>
      <left style="thin">
        <color auto="1"/>
      </left>
      <right style="hair">
        <color rgb="FF0D0D0D"/>
      </right>
      <top style="hair">
        <color rgb="FF0D0D0D"/>
      </top>
      <bottom style="thin">
        <color auto="1"/>
      </bottom>
      <diagonal/>
    </border>
    <border>
      <left style="thin">
        <color auto="1"/>
      </left>
      <right style="thin">
        <color auto="1"/>
      </right>
      <top style="hair">
        <color rgb="FF0D0D0D"/>
      </top>
      <bottom style="thin">
        <color auto="1"/>
      </bottom>
      <diagonal/>
    </border>
    <border>
      <left/>
      <right style="hair">
        <color rgb="FF0D0D0D"/>
      </right>
      <top style="hair">
        <color rgb="FF0D0D0D"/>
      </top>
      <bottom style="thin">
        <color auto="1"/>
      </bottom>
      <diagonal/>
    </border>
    <border>
      <left style="thin">
        <color auto="1"/>
      </left>
      <right style="medium">
        <color auto="1"/>
      </right>
      <top style="hair">
        <color rgb="FF0D0D0D"/>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medium">
        <color auto="1"/>
      </right>
      <top style="thin">
        <color auto="1"/>
      </top>
      <bottom style="hair">
        <color rgb="FF0D0D0D"/>
      </bottom>
      <diagonal/>
    </border>
    <border>
      <left style="thin">
        <color auto="1"/>
      </left>
      <right style="thin">
        <color auto="1"/>
      </right>
      <top style="hair">
        <color auto="1"/>
      </top>
      <bottom style="hair">
        <color auto="1"/>
      </bottom>
      <diagonal/>
    </border>
    <border>
      <left style="medium">
        <color auto="1"/>
      </left>
      <right/>
      <top style="thin">
        <color rgb="FF0D0D0D"/>
      </top>
      <bottom style="thin">
        <color rgb="FF0D0D0D"/>
      </bottom>
      <diagonal/>
    </border>
    <border>
      <left/>
      <right/>
      <top style="thin">
        <color rgb="FF0D0D0D"/>
      </top>
      <bottom style="thin">
        <color rgb="FF0D0D0D"/>
      </bottom>
      <diagonal/>
    </border>
    <border>
      <left/>
      <right style="thin">
        <color rgb="FF0D0D0D"/>
      </right>
      <top style="thin">
        <color rgb="FF0D0D0D"/>
      </top>
      <bottom style="thin">
        <color rgb="FF0D0D0D"/>
      </bottom>
      <diagonal/>
    </border>
    <border>
      <left/>
      <right style="thin">
        <color auto="1"/>
      </right>
      <top style="thin">
        <color rgb="FF0D0D0D"/>
      </top>
      <bottom style="thin">
        <color rgb="FF0D0D0D"/>
      </bottom>
      <diagonal/>
    </border>
    <border>
      <left style="thin">
        <color auto="1"/>
      </left>
      <right style="hair">
        <color rgb="FF0D0D0D"/>
      </right>
      <top style="thin">
        <color rgb="FF0D0D0D"/>
      </top>
      <bottom style="thin">
        <color rgb="FF0D0D0D"/>
      </bottom>
      <diagonal/>
    </border>
    <border>
      <left style="hair">
        <color rgb="FF0D0D0D"/>
      </left>
      <right style="hair">
        <color rgb="FF0D0D0D"/>
      </right>
      <top style="thin">
        <color rgb="FF0D0D0D"/>
      </top>
      <bottom style="thin">
        <color rgb="FF0D0D0D"/>
      </bottom>
      <diagonal/>
    </border>
    <border>
      <left style="hair">
        <color rgb="FF0D0D0D"/>
      </left>
      <right style="thin">
        <color auto="1"/>
      </right>
      <top style="thin">
        <color rgb="FF0D0D0D"/>
      </top>
      <bottom style="thin">
        <color rgb="FF0D0D0D"/>
      </bottom>
      <diagonal/>
    </border>
    <border>
      <left style="thin">
        <color auto="1"/>
      </left>
      <right style="medium">
        <color auto="1"/>
      </right>
      <top style="thin">
        <color rgb="FF0D0D0D"/>
      </top>
      <bottom style="thin">
        <color rgb="FF0D0D0D"/>
      </bottom>
      <diagonal/>
    </border>
    <border>
      <left style="thin">
        <color auto="1"/>
      </left>
      <right style="hair">
        <color auto="1"/>
      </right>
      <top style="thin">
        <color rgb="FF0D0D0D"/>
      </top>
      <bottom style="thin">
        <color rgb="FF0D0D0D"/>
      </bottom>
      <diagonal/>
    </border>
    <border>
      <left style="hair">
        <color auto="1"/>
      </left>
      <right style="hair">
        <color auto="1"/>
      </right>
      <top style="thin">
        <color rgb="FF0D0D0D"/>
      </top>
      <bottom style="thin">
        <color rgb="FF0D0D0D"/>
      </bottom>
      <diagonal/>
    </border>
    <border>
      <left style="hair">
        <color auto="1"/>
      </left>
      <right style="thin">
        <color auto="1"/>
      </right>
      <top style="thin">
        <color rgb="FF0D0D0D"/>
      </top>
      <bottom style="thin">
        <color rgb="FF0D0D0D"/>
      </bottom>
      <diagonal/>
    </border>
    <border>
      <left style="hair">
        <color auto="1"/>
      </left>
      <right/>
      <top style="hair">
        <color rgb="FF0D0D0D"/>
      </top>
      <bottom style="hair">
        <color rgb="FF0D0D0D"/>
      </bottom>
      <diagonal/>
    </border>
    <border>
      <left style="thin">
        <color auto="1"/>
      </left>
      <right style="hair">
        <color rgb="FF0D0D0D"/>
      </right>
      <top style="hair">
        <color rgb="FF0D0D0D"/>
      </top>
      <bottom/>
      <diagonal/>
    </border>
    <border>
      <left/>
      <right style="thin">
        <color rgb="FF0D0D0D"/>
      </right>
      <top style="thin">
        <color auto="1"/>
      </top>
      <bottom style="thin">
        <color auto="1"/>
      </bottom>
      <diagonal/>
    </border>
    <border>
      <left style="hair">
        <color rgb="FF0D0D0D"/>
      </left>
      <right style="thin">
        <color auto="1"/>
      </right>
      <top style="thin">
        <color auto="1"/>
      </top>
      <bottom style="hair">
        <color rgb="FF0D0D0D"/>
      </bottom>
      <diagonal/>
    </border>
    <border>
      <left/>
      <right style="thin">
        <color auto="1"/>
      </right>
      <top style="thin">
        <color auto="1"/>
      </top>
      <bottom style="hair">
        <color rgb="FF0D0D0D"/>
      </bottom>
      <diagonal/>
    </border>
    <border>
      <left style="hair">
        <color rgb="FF0D0D0D"/>
      </left>
      <right style="thin">
        <color auto="1"/>
      </right>
      <top style="hair">
        <color rgb="FF0D0D0D"/>
      </top>
      <bottom style="hair">
        <color rgb="FF0D0D0D"/>
      </bottom>
      <diagonal/>
    </border>
    <border>
      <left/>
      <right style="thin">
        <color auto="1"/>
      </right>
      <top style="hair">
        <color rgb="FF0D0D0D"/>
      </top>
      <bottom style="hair">
        <color rgb="FF0D0D0D"/>
      </bottom>
      <diagonal/>
    </border>
    <border>
      <left style="hair">
        <color rgb="FF0D0D0D"/>
      </left>
      <right style="thin">
        <color auto="1"/>
      </right>
      <top style="hair">
        <color rgb="FF0D0D0D"/>
      </top>
      <bottom/>
      <diagonal/>
    </border>
    <border>
      <left style="thin">
        <color auto="1"/>
      </left>
      <right/>
      <top style="hair">
        <color rgb="FF0D0D0D"/>
      </top>
      <bottom style="hair">
        <color rgb="FF0D0D0D"/>
      </bottom>
      <diagonal/>
    </border>
    <border>
      <left style="thin">
        <color auto="1"/>
      </left>
      <right/>
      <top style="hair">
        <color auto="1"/>
      </top>
      <bottom style="hair">
        <color auto="1"/>
      </bottom>
      <diagonal/>
    </border>
    <border>
      <left style="medium">
        <color auto="1"/>
      </left>
      <right style="hair">
        <color rgb="FF0D0D0D"/>
      </right>
      <top style="hair">
        <color rgb="FF0D0D0D"/>
      </top>
      <bottom style="hair">
        <color auto="1"/>
      </bottom>
      <diagonal/>
    </border>
    <border>
      <left style="hair">
        <color rgb="FF0D0D0D"/>
      </left>
      <right style="hair">
        <color rgb="FF0D0D0D"/>
      </right>
      <top style="hair">
        <color rgb="FF0D0D0D"/>
      </top>
      <bottom style="hair">
        <color auto="1"/>
      </bottom>
      <diagonal/>
    </border>
    <border>
      <left style="hair">
        <color rgb="FF0D0D0D"/>
      </left>
      <right/>
      <top style="hair">
        <color rgb="FF0D0D0D"/>
      </top>
      <bottom style="hair">
        <color auto="1"/>
      </bottom>
      <diagonal/>
    </border>
    <border>
      <left style="thin">
        <color auto="1"/>
      </left>
      <right style="thin">
        <color auto="1"/>
      </right>
      <top style="hair">
        <color rgb="FF0D0D0D"/>
      </top>
      <bottom style="hair">
        <color auto="1"/>
      </bottom>
      <diagonal/>
    </border>
    <border>
      <left/>
      <right style="hair">
        <color rgb="FF0D0D0D"/>
      </right>
      <top style="hair">
        <color rgb="FF0D0D0D"/>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thin">
        <color rgb="FF0D0D0D"/>
      </left>
      <right style="hair">
        <color rgb="FF0D0D0D"/>
      </right>
      <top style="hair">
        <color rgb="FF0D0D0D"/>
      </top>
      <bottom style="hair">
        <color auto="1"/>
      </bottom>
      <diagonal/>
    </border>
    <border>
      <left style="thin">
        <color rgb="FF0D0D0D"/>
      </left>
      <right style="hair">
        <color auto="1"/>
      </right>
      <top style="hair">
        <color auto="1"/>
      </top>
      <bottom style="hair">
        <color auto="1"/>
      </bottom>
      <diagonal/>
    </border>
    <border>
      <left/>
      <right style="hair">
        <color auto="1"/>
      </right>
      <top style="hair">
        <color auto="1"/>
      </top>
      <bottom style="hair">
        <color auto="1"/>
      </bottom>
      <diagonal/>
    </border>
    <border>
      <left/>
      <right style="thin">
        <color rgb="FF0D0D0D"/>
      </right>
      <top/>
      <bottom style="medium">
        <color auto="1"/>
      </bottom>
      <diagonal/>
    </border>
    <border>
      <left/>
      <right style="thin">
        <color auto="1"/>
      </right>
      <top/>
      <bottom style="medium">
        <color auto="1"/>
      </bottom>
      <diagonal/>
    </border>
    <border>
      <left style="thin">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thin">
        <color auto="1"/>
      </right>
      <top/>
      <bottom style="medium">
        <color auto="1"/>
      </bottom>
      <diagonal/>
    </border>
  </borders>
  <cellStyleXfs count="5">
    <xf numFmtId="0" fontId="0" fillId="0" borderId="0"/>
    <xf numFmtId="164" fontId="29" fillId="0" borderId="0" applyBorder="0" applyProtection="0"/>
    <xf numFmtId="165" fontId="29" fillId="0" borderId="0" applyBorder="0" applyProtection="0"/>
    <xf numFmtId="0" fontId="1" fillId="0" borderId="0"/>
    <xf numFmtId="0" fontId="1" fillId="0" borderId="0"/>
  </cellStyleXfs>
  <cellXfs count="273">
    <xf numFmtId="0" fontId="0" fillId="0" borderId="0" xfId="0"/>
    <xf numFmtId="0" fontId="2" fillId="2" borderId="0" xfId="0" applyFont="1" applyFill="1"/>
    <xf numFmtId="0" fontId="4" fillId="3" borderId="9" xfId="3" applyFont="1" applyFill="1" applyBorder="1" applyAlignment="1">
      <alignment vertical="center" wrapText="1"/>
    </xf>
    <xf numFmtId="0" fontId="4" fillId="3" borderId="10" xfId="3" applyFont="1" applyFill="1" applyBorder="1" applyAlignment="1">
      <alignment vertical="center" wrapText="1"/>
    </xf>
    <xf numFmtId="0" fontId="5" fillId="3" borderId="10" xfId="3" applyFont="1" applyFill="1" applyBorder="1" applyAlignment="1">
      <alignment wrapText="1"/>
    </xf>
    <xf numFmtId="0" fontId="5" fillId="3" borderId="5" xfId="3" applyFont="1" applyFill="1" applyBorder="1" applyAlignment="1">
      <alignment wrapText="1"/>
    </xf>
    <xf numFmtId="0" fontId="1" fillId="0" borderId="0" xfId="0" applyFont="1" applyAlignment="1">
      <alignment vertical="center"/>
    </xf>
    <xf numFmtId="0" fontId="10" fillId="0" borderId="0" xfId="0" applyFont="1" applyAlignment="1">
      <alignment horizontal="center" vertical="center"/>
    </xf>
    <xf numFmtId="0" fontId="10" fillId="4" borderId="2"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10" fillId="4" borderId="6" xfId="0" applyFont="1" applyFill="1" applyBorder="1" applyAlignment="1" applyProtection="1">
      <alignment horizontal="center" vertical="center"/>
      <protection locked="0"/>
    </xf>
    <xf numFmtId="0" fontId="1" fillId="4" borderId="6" xfId="0" applyFont="1" applyFill="1" applyBorder="1" applyAlignment="1" applyProtection="1">
      <alignment horizontal="center" vertical="center"/>
      <protection locked="0"/>
    </xf>
    <xf numFmtId="0" fontId="1" fillId="4" borderId="16" xfId="0" applyFont="1" applyFill="1" applyBorder="1" applyAlignment="1" applyProtection="1">
      <alignment horizontal="center" vertical="center"/>
      <protection locked="0"/>
    </xf>
    <xf numFmtId="0" fontId="1" fillId="0" borderId="0" xfId="0" applyFont="1" applyAlignment="1">
      <alignment horizontal="center" vertical="center"/>
    </xf>
    <xf numFmtId="0" fontId="1" fillId="4" borderId="18" xfId="0" applyFont="1" applyFill="1" applyBorder="1" applyAlignment="1" applyProtection="1">
      <alignment horizontal="center" vertical="center"/>
      <protection locked="0"/>
    </xf>
    <xf numFmtId="0" fontId="10" fillId="4" borderId="1" xfId="0" applyFont="1" applyFill="1" applyBorder="1" applyAlignment="1" applyProtection="1">
      <alignment horizontal="center" vertical="center"/>
      <protection locked="0"/>
    </xf>
    <xf numFmtId="14" fontId="1" fillId="4" borderId="2" xfId="0" applyNumberFormat="1" applyFont="1" applyFill="1" applyBorder="1" applyAlignment="1" applyProtection="1">
      <alignment horizontal="center" vertical="center" wrapText="1"/>
      <protection locked="0"/>
    </xf>
    <xf numFmtId="14" fontId="1" fillId="4" borderId="16" xfId="0" applyNumberFormat="1" applyFont="1" applyFill="1" applyBorder="1" applyAlignment="1" applyProtection="1">
      <alignment horizontal="center" vertical="center"/>
      <protection locked="0"/>
    </xf>
    <xf numFmtId="0" fontId="2" fillId="0" borderId="0" xfId="0" applyFont="1"/>
    <xf numFmtId="0" fontId="16" fillId="0" borderId="0" xfId="0" applyFont="1" applyAlignment="1">
      <alignment wrapText="1"/>
    </xf>
    <xf numFmtId="0" fontId="2" fillId="0" borderId="20" xfId="0" applyFont="1" applyBorder="1"/>
    <xf numFmtId="0" fontId="2" fillId="0" borderId="21" xfId="0" applyFont="1" applyBorder="1"/>
    <xf numFmtId="0" fontId="2" fillId="0" borderId="0" xfId="0" applyFont="1" applyAlignment="1">
      <alignment vertical="center"/>
    </xf>
    <xf numFmtId="0" fontId="17" fillId="7" borderId="22" xfId="0" applyFont="1" applyFill="1" applyBorder="1" applyAlignment="1">
      <alignment horizontal="right" vertical="center"/>
    </xf>
    <xf numFmtId="0" fontId="18" fillId="7" borderId="23" xfId="0" applyFont="1" applyFill="1" applyBorder="1" applyAlignment="1">
      <alignment horizontal="left" vertical="center"/>
    </xf>
    <xf numFmtId="0" fontId="19" fillId="7" borderId="23" xfId="0" applyFont="1" applyFill="1" applyBorder="1" applyAlignment="1">
      <alignment horizontal="right" vertical="center"/>
    </xf>
    <xf numFmtId="0" fontId="18" fillId="7" borderId="23" xfId="0" applyFont="1" applyFill="1" applyBorder="1" applyAlignment="1">
      <alignment vertical="center"/>
    </xf>
    <xf numFmtId="0" fontId="18" fillId="7" borderId="24" xfId="0" applyFont="1" applyFill="1" applyBorder="1" applyAlignment="1">
      <alignment horizontal="left" vertical="center"/>
    </xf>
    <xf numFmtId="0" fontId="21" fillId="8" borderId="26" xfId="0" applyFont="1" applyFill="1" applyBorder="1" applyAlignment="1">
      <alignment horizontal="center" vertical="center" wrapText="1"/>
    </xf>
    <xf numFmtId="0" fontId="21" fillId="8" borderId="27" xfId="0" applyFont="1" applyFill="1" applyBorder="1" applyAlignment="1">
      <alignment horizontal="center" vertical="center" wrapText="1"/>
    </xf>
    <xf numFmtId="0" fontId="21" fillId="8" borderId="28" xfId="0" applyFont="1" applyFill="1" applyBorder="1" applyAlignment="1">
      <alignment horizontal="center" vertical="center" wrapText="1"/>
    </xf>
    <xf numFmtId="0" fontId="21" fillId="8" borderId="29" xfId="0" applyFont="1" applyFill="1" applyBorder="1" applyAlignment="1">
      <alignment horizontal="center" vertical="center" wrapText="1"/>
    </xf>
    <xf numFmtId="0" fontId="21" fillId="8" borderId="30" xfId="0" applyFont="1" applyFill="1" applyBorder="1" applyAlignment="1">
      <alignment horizontal="center" vertical="center" wrapText="1"/>
    </xf>
    <xf numFmtId="0" fontId="21" fillId="8" borderId="31" xfId="0" applyFont="1" applyFill="1" applyBorder="1" applyAlignment="1">
      <alignment horizontal="center" vertical="center" wrapText="1"/>
    </xf>
    <xf numFmtId="0" fontId="22" fillId="9" borderId="32" xfId="0" applyFont="1" applyFill="1" applyBorder="1" applyAlignment="1">
      <alignment vertical="center" wrapText="1"/>
    </xf>
    <xf numFmtId="164" fontId="22" fillId="9" borderId="33" xfId="1" applyFont="1" applyFill="1" applyBorder="1" applyAlignment="1" applyProtection="1">
      <alignment vertical="center"/>
    </xf>
    <xf numFmtId="164" fontId="22" fillId="9" borderId="34" xfId="1" applyFont="1" applyFill="1" applyBorder="1" applyAlignment="1" applyProtection="1">
      <alignment vertical="center"/>
    </xf>
    <xf numFmtId="164" fontId="22" fillId="9" borderId="35" xfId="1" applyFont="1" applyFill="1" applyBorder="1" applyAlignment="1" applyProtection="1">
      <alignment vertical="center"/>
    </xf>
    <xf numFmtId="164" fontId="22" fillId="9" borderId="36" xfId="1" applyFont="1" applyFill="1" applyBorder="1" applyAlignment="1" applyProtection="1">
      <alignment vertical="center"/>
    </xf>
    <xf numFmtId="164" fontId="22" fillId="9" borderId="37" xfId="1" applyFont="1" applyFill="1" applyBorder="1" applyAlignment="1" applyProtection="1">
      <alignment vertical="center"/>
    </xf>
    <xf numFmtId="164" fontId="22" fillId="9" borderId="38" xfId="1" applyFont="1" applyFill="1" applyBorder="1" applyAlignment="1" applyProtection="1">
      <alignment vertical="center"/>
    </xf>
    <xf numFmtId="0" fontId="3" fillId="9" borderId="39" xfId="0" applyFont="1" applyFill="1" applyBorder="1" applyAlignment="1">
      <alignment horizontal="center" vertical="center" wrapText="1"/>
    </xf>
    <xf numFmtId="164" fontId="3" fillId="9" borderId="40" xfId="1" applyFont="1" applyFill="1" applyBorder="1" applyAlignment="1" applyProtection="1">
      <alignment vertical="center"/>
    </xf>
    <xf numFmtId="164" fontId="3" fillId="9" borderId="41" xfId="1" applyFont="1" applyFill="1" applyBorder="1" applyAlignment="1" applyProtection="1">
      <alignment vertical="center"/>
    </xf>
    <xf numFmtId="164" fontId="3" fillId="9" borderId="42" xfId="1" applyFont="1" applyFill="1" applyBorder="1" applyAlignment="1" applyProtection="1">
      <alignment vertical="center"/>
    </xf>
    <xf numFmtId="164" fontId="3" fillId="9" borderId="43" xfId="1" applyFont="1" applyFill="1" applyBorder="1" applyAlignment="1" applyProtection="1">
      <alignment vertical="center"/>
    </xf>
    <xf numFmtId="0" fontId="24" fillId="0" borderId="0" xfId="0" applyFont="1" applyAlignment="1">
      <alignment horizontal="right"/>
    </xf>
    <xf numFmtId="0" fontId="11" fillId="0" borderId="0" xfId="0" applyFont="1" applyAlignment="1">
      <alignment horizontal="left"/>
    </xf>
    <xf numFmtId="0" fontId="22" fillId="0" borderId="0" xfId="0" applyFont="1" applyAlignment="1">
      <alignment horizontal="left"/>
    </xf>
    <xf numFmtId="14" fontId="11" fillId="0" borderId="0" xfId="0" applyNumberFormat="1" applyFont="1" applyAlignment="1">
      <alignment horizontal="left"/>
    </xf>
    <xf numFmtId="14" fontId="22" fillId="0" borderId="0" xfId="0" applyNumberFormat="1" applyFont="1" applyAlignment="1">
      <alignment horizontal="left"/>
    </xf>
    <xf numFmtId="0" fontId="11" fillId="0" borderId="0" xfId="0" applyFont="1"/>
    <xf numFmtId="0" fontId="22" fillId="0" borderId="0" xfId="0" applyFont="1"/>
    <xf numFmtId="0" fontId="2" fillId="0" borderId="44" xfId="0" applyFont="1" applyBorder="1"/>
    <xf numFmtId="0" fontId="2" fillId="0" borderId="19" xfId="0" applyFont="1" applyBorder="1"/>
    <xf numFmtId="0" fontId="2" fillId="0" borderId="45" xfId="0" applyFont="1" applyBorder="1"/>
    <xf numFmtId="0" fontId="26" fillId="7" borderId="22" xfId="0" applyFont="1" applyFill="1" applyBorder="1"/>
    <xf numFmtId="0" fontId="18" fillId="7" borderId="23" xfId="0" applyFont="1" applyFill="1" applyBorder="1"/>
    <xf numFmtId="0" fontId="26" fillId="7" borderId="23" xfId="0" applyFont="1" applyFill="1" applyBorder="1"/>
    <xf numFmtId="0" fontId="27" fillId="10" borderId="46"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47" xfId="0" applyFont="1" applyFill="1" applyBorder="1" applyAlignment="1">
      <alignment horizontal="center" vertical="center" wrapText="1"/>
    </xf>
    <xf numFmtId="0" fontId="27" fillId="10" borderId="27" xfId="0" applyFont="1" applyFill="1" applyBorder="1" applyAlignment="1">
      <alignment horizontal="center" vertical="center" wrapText="1"/>
    </xf>
    <xf numFmtId="0" fontId="27" fillId="10" borderId="28"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2" fillId="9" borderId="48" xfId="0" applyFont="1" applyFill="1" applyBorder="1" applyAlignment="1">
      <alignment vertical="center" wrapText="1"/>
    </xf>
    <xf numFmtId="0" fontId="2" fillId="9" borderId="35" xfId="0" applyFont="1" applyFill="1" applyBorder="1" applyAlignment="1">
      <alignment vertical="center"/>
    </xf>
    <xf numFmtId="14" fontId="2" fillId="9" borderId="35" xfId="0" applyNumberFormat="1" applyFont="1" applyFill="1" applyBorder="1" applyAlignment="1">
      <alignment vertical="center"/>
    </xf>
    <xf numFmtId="164" fontId="2" fillId="9" borderId="49" xfId="1" applyFont="1" applyFill="1" applyBorder="1" applyAlignment="1" applyProtection="1">
      <alignment vertical="center"/>
    </xf>
    <xf numFmtId="164" fontId="23" fillId="9" borderId="33" xfId="1" applyFont="1" applyFill="1" applyBorder="1" applyAlignment="1" applyProtection="1">
      <alignment vertical="center"/>
    </xf>
    <xf numFmtId="164" fontId="2" fillId="9" borderId="34" xfId="1" applyFont="1" applyFill="1" applyBorder="1" applyAlignment="1" applyProtection="1">
      <alignment vertical="center"/>
    </xf>
    <xf numFmtId="164" fontId="2" fillId="9" borderId="35" xfId="1" applyFont="1" applyFill="1" applyBorder="1" applyAlignment="1" applyProtection="1">
      <alignment vertical="center"/>
    </xf>
    <xf numFmtId="164" fontId="23" fillId="9" borderId="36" xfId="1" applyFont="1" applyFill="1" applyBorder="1" applyAlignment="1" applyProtection="1">
      <alignment vertical="center"/>
    </xf>
    <xf numFmtId="164" fontId="2" fillId="9" borderId="50" xfId="1" applyFont="1" applyFill="1" applyBorder="1" applyAlignment="1" applyProtection="1">
      <alignment vertical="center"/>
    </xf>
    <xf numFmtId="164" fontId="23" fillId="9" borderId="51" xfId="1" applyFont="1" applyFill="1" applyBorder="1" applyAlignment="1" applyProtection="1">
      <alignment vertical="center"/>
    </xf>
    <xf numFmtId="164" fontId="2" fillId="9" borderId="52" xfId="1" applyFont="1" applyFill="1" applyBorder="1" applyAlignment="1" applyProtection="1">
      <alignment vertical="center"/>
    </xf>
    <xf numFmtId="164" fontId="2" fillId="9" borderId="53" xfId="1" applyFont="1" applyFill="1" applyBorder="1" applyAlignment="1" applyProtection="1">
      <alignment vertical="center"/>
    </xf>
    <xf numFmtId="164" fontId="2" fillId="9" borderId="54" xfId="1" applyFont="1" applyFill="1" applyBorder="1" applyAlignment="1" applyProtection="1">
      <alignment vertical="center"/>
    </xf>
    <xf numFmtId="164" fontId="23" fillId="9" borderId="55" xfId="1" applyFont="1" applyFill="1" applyBorder="1" applyAlignment="1" applyProtection="1">
      <alignment vertical="center"/>
    </xf>
    <xf numFmtId="0" fontId="2" fillId="9" borderId="56" xfId="0" applyFont="1" applyFill="1" applyBorder="1" applyAlignment="1">
      <alignment vertical="center" wrapText="1"/>
    </xf>
    <xf numFmtId="0" fontId="2" fillId="9" borderId="53" xfId="0" applyFont="1" applyFill="1" applyBorder="1" applyAlignment="1">
      <alignment vertical="center"/>
    </xf>
    <xf numFmtId="14" fontId="2" fillId="9" borderId="53" xfId="0" applyNumberFormat="1" applyFont="1" applyFill="1" applyBorder="1" applyAlignment="1">
      <alignment vertical="center"/>
    </xf>
    <xf numFmtId="164" fontId="2" fillId="9" borderId="57" xfId="1" applyFont="1" applyFill="1" applyBorder="1" applyAlignment="1" applyProtection="1">
      <alignment vertical="center"/>
    </xf>
    <xf numFmtId="164" fontId="23" fillId="9" borderId="58" xfId="1" applyFont="1" applyFill="1" applyBorder="1" applyAlignment="1" applyProtection="1">
      <alignment vertical="center"/>
    </xf>
    <xf numFmtId="0" fontId="24" fillId="11" borderId="9" xfId="0" applyFont="1" applyFill="1" applyBorder="1" applyAlignment="1">
      <alignment vertical="center"/>
    </xf>
    <xf numFmtId="0" fontId="24" fillId="11" borderId="10" xfId="0" applyFont="1" applyFill="1" applyBorder="1" applyAlignment="1">
      <alignment vertical="center"/>
    </xf>
    <xf numFmtId="164" fontId="24" fillId="11" borderId="59" xfId="0" applyNumberFormat="1" applyFont="1" applyFill="1" applyBorder="1" applyAlignment="1">
      <alignment vertical="center"/>
    </xf>
    <xf numFmtId="164" fontId="22" fillId="11" borderId="60" xfId="0" applyNumberFormat="1" applyFont="1" applyFill="1" applyBorder="1" applyAlignment="1">
      <alignment vertical="center"/>
    </xf>
    <xf numFmtId="164" fontId="22" fillId="11" borderId="61" xfId="0" applyNumberFormat="1" applyFont="1" applyFill="1" applyBorder="1" applyAlignment="1">
      <alignment vertical="center"/>
    </xf>
    <xf numFmtId="164" fontId="22" fillId="11" borderId="62" xfId="0" applyNumberFormat="1" applyFont="1" applyFill="1" applyBorder="1" applyAlignment="1">
      <alignment vertical="center"/>
    </xf>
    <xf numFmtId="164" fontId="24" fillId="11" borderId="4" xfId="0" applyNumberFormat="1" applyFont="1" applyFill="1" applyBorder="1" applyAlignment="1">
      <alignment vertical="center"/>
    </xf>
    <xf numFmtId="0" fontId="28" fillId="0" borderId="0" xfId="0" applyFont="1"/>
    <xf numFmtId="0" fontId="2" fillId="0" borderId="0" xfId="0" applyFont="1" applyAlignment="1">
      <alignment wrapText="1"/>
    </xf>
    <xf numFmtId="0" fontId="19" fillId="7" borderId="22" xfId="0" applyFont="1" applyFill="1" applyBorder="1" applyAlignment="1">
      <alignment horizontal="right" vertical="center"/>
    </xf>
    <xf numFmtId="0" fontId="27" fillId="10" borderId="64" xfId="0" applyFont="1" applyFill="1" applyBorder="1" applyAlignment="1">
      <alignment horizontal="center" vertical="center" wrapText="1"/>
    </xf>
    <xf numFmtId="0" fontId="27" fillId="10" borderId="65" xfId="0" applyFont="1" applyFill="1" applyBorder="1" applyAlignment="1">
      <alignment horizontal="center" vertical="center" wrapText="1"/>
    </xf>
    <xf numFmtId="0" fontId="27" fillId="10" borderId="66" xfId="0" applyFont="1" applyFill="1" applyBorder="1" applyAlignment="1">
      <alignment horizontal="center" vertical="center" wrapText="1"/>
    </xf>
    <xf numFmtId="0" fontId="27" fillId="10" borderId="67" xfId="0" applyFont="1" applyFill="1" applyBorder="1" applyAlignment="1">
      <alignment horizontal="center" vertical="center" wrapText="1"/>
    </xf>
    <xf numFmtId="0" fontId="2" fillId="9" borderId="35" xfId="0" applyFont="1" applyFill="1" applyBorder="1" applyAlignment="1">
      <alignment vertical="center" wrapText="1"/>
    </xf>
    <xf numFmtId="0" fontId="2" fillId="9" borderId="49" xfId="0" applyFont="1" applyFill="1" applyBorder="1" applyAlignment="1">
      <alignment vertical="center"/>
    </xf>
    <xf numFmtId="0" fontId="2" fillId="9" borderId="68" xfId="0" applyFont="1" applyFill="1" applyBorder="1" applyAlignment="1">
      <alignment vertical="center"/>
    </xf>
    <xf numFmtId="0" fontId="2" fillId="9" borderId="37" xfId="0" applyFont="1" applyFill="1" applyBorder="1" applyAlignment="1">
      <alignment vertical="center"/>
    </xf>
    <xf numFmtId="0" fontId="2" fillId="9" borderId="38" xfId="0" applyFont="1" applyFill="1" applyBorder="1" applyAlignment="1">
      <alignment vertical="center"/>
    </xf>
    <xf numFmtId="14" fontId="2" fillId="9" borderId="38" xfId="0" applyNumberFormat="1" applyFont="1" applyFill="1" applyBorder="1" applyAlignment="1">
      <alignment vertical="center"/>
    </xf>
    <xf numFmtId="14" fontId="2" fillId="9" borderId="49" xfId="0" applyNumberFormat="1" applyFont="1" applyFill="1" applyBorder="1" applyAlignment="1">
      <alignment vertical="center"/>
    </xf>
    <xf numFmtId="164" fontId="23" fillId="9" borderId="69" xfId="1" applyFont="1" applyFill="1" applyBorder="1" applyAlignment="1" applyProtection="1">
      <alignment vertical="center"/>
    </xf>
    <xf numFmtId="0" fontId="2" fillId="9" borderId="48" xfId="0" applyFont="1" applyFill="1" applyBorder="1" applyAlignment="1">
      <alignment vertical="center"/>
    </xf>
    <xf numFmtId="0" fontId="2" fillId="9" borderId="70" xfId="0" applyFont="1" applyFill="1" applyBorder="1" applyAlignment="1">
      <alignment vertical="center"/>
    </xf>
    <xf numFmtId="0" fontId="2" fillId="9" borderId="71" xfId="0" applyFont="1" applyFill="1" applyBorder="1" applyAlignment="1">
      <alignment vertical="center" wrapText="1"/>
    </xf>
    <xf numFmtId="0" fontId="2" fillId="9" borderId="72" xfId="0" applyFont="1" applyFill="1" applyBorder="1" applyAlignment="1">
      <alignment vertical="center"/>
    </xf>
    <xf numFmtId="0" fontId="2" fillId="9" borderId="73" xfId="0" applyFont="1" applyFill="1" applyBorder="1" applyAlignment="1">
      <alignment vertical="center"/>
    </xf>
    <xf numFmtId="0" fontId="2" fillId="9" borderId="71" xfId="0" applyFont="1" applyFill="1" applyBorder="1" applyAlignment="1">
      <alignment vertical="center"/>
    </xf>
    <xf numFmtId="14" fontId="2" fillId="9" borderId="71" xfId="0" applyNumberFormat="1" applyFont="1" applyFill="1" applyBorder="1" applyAlignment="1">
      <alignment vertical="center"/>
    </xf>
    <xf numFmtId="164" fontId="23" fillId="9" borderId="74" xfId="1" applyFont="1" applyFill="1" applyBorder="1" applyAlignment="1" applyProtection="1">
      <alignment vertical="center"/>
    </xf>
    <xf numFmtId="164" fontId="2" fillId="9" borderId="75" xfId="1" applyFont="1" applyFill="1" applyBorder="1" applyAlignment="1" applyProtection="1">
      <alignment vertical="center"/>
    </xf>
    <xf numFmtId="164" fontId="2" fillId="9" borderId="71" xfId="1" applyFont="1" applyFill="1" applyBorder="1" applyAlignment="1" applyProtection="1">
      <alignment vertical="center"/>
    </xf>
    <xf numFmtId="164" fontId="2" fillId="9" borderId="72" xfId="1" applyFont="1" applyFill="1" applyBorder="1" applyAlignment="1" applyProtection="1">
      <alignment vertical="center"/>
    </xf>
    <xf numFmtId="164" fontId="23" fillId="9" borderId="76" xfId="1" applyFont="1" applyFill="1" applyBorder="1" applyAlignment="1" applyProtection="1">
      <alignment vertical="center"/>
    </xf>
    <xf numFmtId="0" fontId="24" fillId="11" borderId="77" xfId="0" applyFont="1" applyFill="1" applyBorder="1" applyAlignment="1">
      <alignment vertical="center"/>
    </xf>
    <xf numFmtId="164" fontId="22" fillId="11" borderId="78" xfId="0" applyNumberFormat="1" applyFont="1" applyFill="1" applyBorder="1" applyAlignment="1">
      <alignment vertical="center"/>
    </xf>
    <xf numFmtId="164" fontId="22" fillId="11" borderId="79" xfId="0" applyNumberFormat="1" applyFont="1" applyFill="1" applyBorder="1" applyAlignment="1">
      <alignment vertical="center"/>
    </xf>
    <xf numFmtId="164" fontId="22" fillId="11" borderId="80" xfId="0" applyNumberFormat="1" applyFont="1" applyFill="1" applyBorder="1" applyAlignment="1">
      <alignment vertical="center"/>
    </xf>
    <xf numFmtId="0" fontId="2" fillId="0" borderId="0" xfId="0" applyFont="1" applyAlignment="1">
      <alignment vertical="top"/>
    </xf>
    <xf numFmtId="0" fontId="2" fillId="0" borderId="0" xfId="0" applyFont="1" applyAlignment="1">
      <alignment vertical="top" wrapText="1"/>
    </xf>
    <xf numFmtId="0" fontId="18" fillId="7" borderId="23" xfId="0" applyFont="1" applyFill="1" applyBorder="1" applyAlignment="1">
      <alignment horizontal="center" vertical="center"/>
    </xf>
    <xf numFmtId="0" fontId="27" fillId="10" borderId="81" xfId="0" applyFont="1" applyFill="1" applyBorder="1" applyAlignment="1">
      <alignment horizontal="center" vertical="center" wrapText="1"/>
    </xf>
    <xf numFmtId="164" fontId="23" fillId="9" borderId="82" xfId="1" applyFont="1" applyFill="1" applyBorder="1" applyAlignment="1" applyProtection="1">
      <alignment vertical="center"/>
    </xf>
    <xf numFmtId="0" fontId="2" fillId="9" borderId="56" xfId="0" applyFont="1" applyFill="1" applyBorder="1" applyAlignment="1">
      <alignment vertical="center"/>
    </xf>
    <xf numFmtId="0" fontId="24" fillId="11" borderId="83" xfId="0" applyFont="1" applyFill="1" applyBorder="1" applyAlignment="1">
      <alignment vertical="center"/>
    </xf>
    <xf numFmtId="0" fontId="24" fillId="11" borderId="84" xfId="0" applyFont="1" applyFill="1" applyBorder="1" applyAlignment="1">
      <alignment vertical="center"/>
    </xf>
    <xf numFmtId="0" fontId="24" fillId="11" borderId="85" xfId="0" applyFont="1" applyFill="1" applyBorder="1" applyAlignment="1">
      <alignment vertical="center"/>
    </xf>
    <xf numFmtId="164" fontId="24" fillId="11" borderId="86" xfId="0" applyNumberFormat="1" applyFont="1" applyFill="1" applyBorder="1" applyAlignment="1">
      <alignment vertical="center"/>
    </xf>
    <xf numFmtId="164" fontId="22" fillId="11" borderId="87" xfId="0" applyNumberFormat="1" applyFont="1" applyFill="1" applyBorder="1" applyAlignment="1">
      <alignment vertical="center"/>
    </xf>
    <xf numFmtId="164" fontId="22" fillId="11" borderId="88" xfId="0" applyNumberFormat="1" applyFont="1" applyFill="1" applyBorder="1" applyAlignment="1">
      <alignment vertical="center"/>
    </xf>
    <xf numFmtId="164" fontId="22" fillId="11" borderId="89" xfId="0" applyNumberFormat="1" applyFont="1" applyFill="1" applyBorder="1" applyAlignment="1">
      <alignment vertical="center"/>
    </xf>
    <xf numFmtId="164" fontId="24" fillId="11" borderId="90" xfId="0" applyNumberFormat="1" applyFont="1" applyFill="1" applyBorder="1" applyAlignment="1">
      <alignment vertical="center"/>
    </xf>
    <xf numFmtId="0" fontId="2" fillId="9" borderId="53" xfId="0" applyFont="1" applyFill="1" applyBorder="1" applyAlignment="1">
      <alignment vertical="center" wrapText="1"/>
    </xf>
    <xf numFmtId="0" fontId="2" fillId="9" borderId="54" xfId="0" applyFont="1" applyFill="1" applyBorder="1" applyAlignment="1">
      <alignment vertical="center"/>
    </xf>
    <xf numFmtId="164" fontId="22" fillId="11" borderId="91" xfId="0" applyNumberFormat="1" applyFont="1" applyFill="1" applyBorder="1" applyAlignment="1">
      <alignment vertical="center"/>
    </xf>
    <xf numFmtId="164" fontId="22" fillId="11" borderId="92" xfId="0" applyNumberFormat="1" applyFont="1" applyFill="1" applyBorder="1" applyAlignment="1">
      <alignment vertical="center"/>
    </xf>
    <xf numFmtId="164" fontId="22" fillId="11" borderId="93" xfId="0" applyNumberFormat="1" applyFont="1" applyFill="1" applyBorder="1" applyAlignment="1">
      <alignment vertical="center"/>
    </xf>
    <xf numFmtId="14" fontId="2" fillId="9" borderId="94" xfId="0" applyNumberFormat="1" applyFont="1" applyFill="1" applyBorder="1" applyAlignment="1">
      <alignment vertical="center"/>
    </xf>
    <xf numFmtId="0" fontId="2" fillId="9" borderId="95" xfId="0" applyFont="1" applyFill="1" applyBorder="1" applyAlignment="1">
      <alignment vertical="center"/>
    </xf>
    <xf numFmtId="0" fontId="22" fillId="11" borderId="9" xfId="0" applyFont="1" applyFill="1" applyBorder="1" applyAlignment="1">
      <alignment vertical="center"/>
    </xf>
    <xf numFmtId="0" fontId="22" fillId="11" borderId="10" xfId="0" applyFont="1" applyFill="1" applyBorder="1" applyAlignment="1">
      <alignment vertical="center"/>
    </xf>
    <xf numFmtId="0" fontId="22" fillId="11" borderId="96" xfId="0" applyFont="1" applyFill="1" applyBorder="1" applyAlignment="1">
      <alignment vertical="center"/>
    </xf>
    <xf numFmtId="164" fontId="24" fillId="11" borderId="77" xfId="0" applyNumberFormat="1" applyFont="1" applyFill="1" applyBorder="1" applyAlignment="1">
      <alignment vertical="center"/>
    </xf>
    <xf numFmtId="0" fontId="26" fillId="7" borderId="23" xfId="0" applyFont="1" applyFill="1" applyBorder="1" applyAlignment="1">
      <alignment horizontal="right"/>
    </xf>
    <xf numFmtId="0" fontId="27" fillId="10" borderId="97" xfId="0" applyFont="1" applyFill="1" applyBorder="1" applyAlignment="1">
      <alignment horizontal="center" vertical="center" wrapText="1"/>
    </xf>
    <xf numFmtId="0" fontId="27" fillId="10" borderId="98" xfId="0" applyFont="1" applyFill="1" applyBorder="1" applyAlignment="1">
      <alignment horizontal="center" vertical="center" wrapText="1"/>
    </xf>
    <xf numFmtId="0" fontId="2" fillId="9" borderId="34" xfId="0" applyFont="1" applyFill="1" applyBorder="1" applyAlignment="1">
      <alignment vertical="center" wrapText="1"/>
    </xf>
    <xf numFmtId="0" fontId="2" fillId="9" borderId="68" xfId="0" applyFont="1" applyFill="1" applyBorder="1" applyAlignment="1">
      <alignment vertical="center" wrapText="1"/>
    </xf>
    <xf numFmtId="164" fontId="2" fillId="9" borderId="35" xfId="1" applyFont="1" applyFill="1" applyBorder="1" applyAlignment="1" applyProtection="1">
      <alignment vertical="center" wrapText="1"/>
    </xf>
    <xf numFmtId="165" fontId="2" fillId="9" borderId="35" xfId="2" applyFont="1" applyFill="1" applyBorder="1" applyAlignment="1" applyProtection="1">
      <alignment horizontal="right" vertical="center" wrapText="1"/>
    </xf>
    <xf numFmtId="0" fontId="2" fillId="9" borderId="35" xfId="0" applyFont="1" applyFill="1" applyBorder="1" applyAlignment="1">
      <alignment horizontal="center" vertical="center" wrapText="1"/>
    </xf>
    <xf numFmtId="165" fontId="2" fillId="9" borderId="99" xfId="2" applyFont="1" applyFill="1" applyBorder="1" applyAlignment="1" applyProtection="1">
      <alignment vertical="center" wrapText="1"/>
    </xf>
    <xf numFmtId="164" fontId="23" fillId="9" borderId="100" xfId="1" applyFont="1" applyFill="1" applyBorder="1" applyAlignment="1" applyProtection="1">
      <alignment vertical="center"/>
    </xf>
    <xf numFmtId="0" fontId="2" fillId="12" borderId="48" xfId="0" applyFont="1" applyFill="1" applyBorder="1" applyAlignment="1">
      <alignment vertical="center" wrapText="1"/>
    </xf>
    <xf numFmtId="0" fontId="2" fillId="12" borderId="35" xfId="0" applyFont="1" applyFill="1" applyBorder="1" applyAlignment="1">
      <alignment vertical="center"/>
    </xf>
    <xf numFmtId="0" fontId="2" fillId="12" borderId="37" xfId="0" applyFont="1" applyFill="1" applyBorder="1" applyAlignment="1">
      <alignment vertical="center" wrapText="1"/>
    </xf>
    <xf numFmtId="14" fontId="2" fillId="12" borderId="38" xfId="0" applyNumberFormat="1" applyFont="1" applyFill="1" applyBorder="1" applyAlignment="1">
      <alignment vertical="center"/>
    </xf>
    <xf numFmtId="164" fontId="2" fillId="12" borderId="38" xfId="1" applyFont="1" applyFill="1" applyBorder="1" applyAlignment="1" applyProtection="1">
      <alignment vertical="center" wrapText="1"/>
    </xf>
    <xf numFmtId="0" fontId="2" fillId="12" borderId="38" xfId="0" applyFont="1" applyFill="1" applyBorder="1" applyAlignment="1">
      <alignment vertical="center" wrapText="1"/>
    </xf>
    <xf numFmtId="165" fontId="2" fillId="12" borderId="38" xfId="2" applyFont="1" applyFill="1" applyBorder="1" applyAlignment="1" applyProtection="1">
      <alignment horizontal="right" vertical="center" wrapText="1"/>
    </xf>
    <xf numFmtId="0" fontId="2" fillId="12" borderId="38" xfId="0" applyFont="1" applyFill="1" applyBorder="1" applyAlignment="1">
      <alignment horizontal="center" vertical="center" wrapText="1"/>
    </xf>
    <xf numFmtId="164" fontId="23" fillId="12" borderId="100" xfId="1" applyFont="1" applyFill="1" applyBorder="1" applyAlignment="1" applyProtection="1">
      <alignment vertical="center"/>
    </xf>
    <xf numFmtId="164" fontId="2" fillId="12" borderId="35" xfId="1" applyFont="1" applyFill="1" applyBorder="1" applyAlignment="1" applyProtection="1">
      <alignment vertical="center"/>
    </xf>
    <xf numFmtId="164" fontId="23" fillId="12" borderId="36" xfId="1" applyFont="1" applyFill="1" applyBorder="1" applyAlignment="1" applyProtection="1">
      <alignment vertical="center"/>
    </xf>
    <xf numFmtId="0" fontId="2" fillId="9" borderId="52" xfId="0" applyFont="1" applyFill="1" applyBorder="1" applyAlignment="1">
      <alignment vertical="center"/>
    </xf>
    <xf numFmtId="0" fontId="2" fillId="9" borderId="95" xfId="0" applyFont="1" applyFill="1" applyBorder="1" applyAlignment="1">
      <alignment vertical="center" wrapText="1"/>
    </xf>
    <xf numFmtId="164" fontId="2" fillId="9" borderId="53" xfId="1" applyFont="1" applyFill="1" applyBorder="1" applyAlignment="1" applyProtection="1">
      <alignment vertical="center" wrapText="1"/>
    </xf>
    <xf numFmtId="165" fontId="2" fillId="9" borderId="53" xfId="2" applyFont="1" applyFill="1" applyBorder="1" applyAlignment="1" applyProtection="1">
      <alignment horizontal="right" vertical="center" wrapText="1"/>
    </xf>
    <xf numFmtId="0" fontId="2" fillId="9" borderId="53" xfId="0" applyFont="1" applyFill="1" applyBorder="1" applyAlignment="1">
      <alignment horizontal="center" vertical="center" wrapText="1"/>
    </xf>
    <xf numFmtId="165" fontId="2" fillId="9" borderId="101" xfId="2" applyFont="1" applyFill="1" applyBorder="1" applyAlignment="1" applyProtection="1">
      <alignment vertical="center" wrapText="1"/>
    </xf>
    <xf numFmtId="0" fontId="22" fillId="11" borderId="10" xfId="0" applyFont="1" applyFill="1" applyBorder="1"/>
    <xf numFmtId="0" fontId="22" fillId="11" borderId="10" xfId="0" applyFont="1" applyFill="1" applyBorder="1" applyAlignment="1">
      <alignment vertical="center" wrapText="1"/>
    </xf>
    <xf numFmtId="0" fontId="22" fillId="11" borderId="10" xfId="0" applyFont="1" applyFill="1" applyBorder="1" applyAlignment="1">
      <alignment horizontal="right" vertical="center" wrapText="1"/>
    </xf>
    <xf numFmtId="0" fontId="22" fillId="11" borderId="77" xfId="0" applyFont="1" applyFill="1" applyBorder="1" applyAlignment="1">
      <alignment vertical="center"/>
    </xf>
    <xf numFmtId="3" fontId="10" fillId="5" borderId="6" xfId="0" applyNumberFormat="1" applyFont="1" applyFill="1" applyBorder="1" applyAlignment="1" applyProtection="1">
      <alignment horizontal="center" vertical="center"/>
      <protection locked="0"/>
    </xf>
    <xf numFmtId="0" fontId="30" fillId="9" borderId="35" xfId="0" applyFont="1" applyFill="1" applyBorder="1" applyAlignment="1">
      <alignment vertical="center"/>
    </xf>
    <xf numFmtId="0" fontId="25" fillId="0" borderId="0" xfId="0" applyFont="1"/>
    <xf numFmtId="0" fontId="25" fillId="13" borderId="0" xfId="0" applyFont="1" applyFill="1"/>
    <xf numFmtId="0" fontId="2" fillId="13" borderId="0" xfId="0" applyFont="1" applyFill="1"/>
    <xf numFmtId="0" fontId="0" fillId="14" borderId="59" xfId="0" applyFill="1" applyBorder="1" applyAlignment="1">
      <alignment vertical="top" wrapText="1"/>
    </xf>
    <xf numFmtId="164" fontId="23" fillId="9" borderId="102" xfId="1" applyFont="1" applyFill="1" applyBorder="1" applyAlignment="1" applyProtection="1">
      <alignment vertical="center"/>
    </xf>
    <xf numFmtId="164" fontId="23" fillId="9" borderId="103" xfId="1" applyFont="1" applyFill="1" applyBorder="1" applyAlignment="1" applyProtection="1">
      <alignment vertical="center"/>
    </xf>
    <xf numFmtId="0" fontId="2" fillId="0" borderId="59" xfId="0" applyFont="1" applyBorder="1"/>
    <xf numFmtId="14" fontId="2" fillId="0" borderId="59" xfId="0" applyNumberFormat="1" applyFont="1" applyBorder="1"/>
    <xf numFmtId="14" fontId="2" fillId="0" borderId="0" xfId="0" applyNumberFormat="1" applyFont="1"/>
    <xf numFmtId="0" fontId="2" fillId="9" borderId="104" xfId="0" applyFont="1" applyFill="1" applyBorder="1" applyAlignment="1">
      <alignment vertical="center" wrapText="1"/>
    </xf>
    <xf numFmtId="0" fontId="2" fillId="9" borderId="105" xfId="0" applyFont="1" applyFill="1" applyBorder="1" applyAlignment="1">
      <alignment vertical="center" wrapText="1"/>
    </xf>
    <xf numFmtId="0" fontId="2" fillId="9" borderId="106" xfId="0" applyFont="1" applyFill="1" applyBorder="1" applyAlignment="1">
      <alignment vertical="center"/>
    </xf>
    <xf numFmtId="14" fontId="2" fillId="9" borderId="105" xfId="0" applyNumberFormat="1" applyFont="1" applyFill="1" applyBorder="1" applyAlignment="1">
      <alignment vertical="center"/>
    </xf>
    <xf numFmtId="164" fontId="23" fillId="9" borderId="107" xfId="1" applyFont="1" applyFill="1" applyBorder="1" applyAlignment="1" applyProtection="1">
      <alignment vertical="center"/>
    </xf>
    <xf numFmtId="164" fontId="2" fillId="9" borderId="108" xfId="1" applyFont="1" applyFill="1" applyBorder="1" applyAlignment="1" applyProtection="1">
      <alignment vertical="center"/>
    </xf>
    <xf numFmtId="164" fontId="2" fillId="9" borderId="105" xfId="1" applyFont="1" applyFill="1" applyBorder="1" applyAlignment="1" applyProtection="1">
      <alignment vertical="center"/>
    </xf>
    <xf numFmtId="164" fontId="2" fillId="9" borderId="106" xfId="1" applyFont="1" applyFill="1" applyBorder="1" applyAlignment="1" applyProtection="1">
      <alignment vertical="center"/>
    </xf>
    <xf numFmtId="0" fontId="2" fillId="9" borderId="109" xfId="0" applyFont="1" applyFill="1" applyBorder="1" applyAlignment="1">
      <alignment vertical="center" wrapText="1"/>
    </xf>
    <xf numFmtId="0" fontId="2" fillId="9" borderId="110" xfId="0" applyFont="1" applyFill="1" applyBorder="1" applyAlignment="1">
      <alignment vertical="center" wrapText="1"/>
    </xf>
    <xf numFmtId="14" fontId="2" fillId="9" borderId="110" xfId="0" applyNumberFormat="1" applyFont="1" applyFill="1" applyBorder="1" applyAlignment="1">
      <alignment vertical="center"/>
    </xf>
    <xf numFmtId="164" fontId="2" fillId="9" borderId="110" xfId="1" applyFont="1" applyFill="1" applyBorder="1" applyAlignment="1" applyProtection="1">
      <alignment vertical="center"/>
    </xf>
    <xf numFmtId="0" fontId="2" fillId="9" borderId="111" xfId="0" applyFont="1" applyFill="1" applyBorder="1" applyAlignment="1">
      <alignment vertical="center"/>
    </xf>
    <xf numFmtId="0" fontId="2" fillId="9" borderId="112" xfId="0" applyFont="1" applyFill="1" applyBorder="1" applyAlignment="1">
      <alignment vertical="center" wrapText="1"/>
    </xf>
    <xf numFmtId="0" fontId="2" fillId="9" borderId="113" xfId="0" applyFont="1" applyFill="1" applyBorder="1" applyAlignment="1">
      <alignment vertical="center"/>
    </xf>
    <xf numFmtId="164" fontId="2" fillId="9" borderId="114" xfId="1" applyFont="1" applyFill="1" applyBorder="1" applyAlignment="1" applyProtection="1">
      <alignment vertical="center"/>
    </xf>
    <xf numFmtId="164" fontId="2" fillId="9" borderId="111" xfId="1" applyFont="1" applyFill="1" applyBorder="1" applyAlignment="1" applyProtection="1">
      <alignment vertical="center"/>
    </xf>
    <xf numFmtId="0" fontId="0" fillId="14" borderId="77" xfId="0" applyFill="1" applyBorder="1" applyAlignment="1">
      <alignment vertical="top" wrapText="1"/>
    </xf>
    <xf numFmtId="0" fontId="2" fillId="0" borderId="77" xfId="0" applyFont="1" applyBorder="1"/>
    <xf numFmtId="0" fontId="22" fillId="11" borderId="44" xfId="0" applyFont="1" applyFill="1" applyBorder="1" applyAlignment="1">
      <alignment vertical="center"/>
    </xf>
    <xf numFmtId="0" fontId="22" fillId="11" borderId="19" xfId="0" applyFont="1" applyFill="1" applyBorder="1" applyAlignment="1">
      <alignment vertical="center"/>
    </xf>
    <xf numFmtId="0" fontId="22" fillId="11" borderId="115" xfId="0" applyFont="1" applyFill="1" applyBorder="1" applyAlignment="1">
      <alignment vertical="center"/>
    </xf>
    <xf numFmtId="164" fontId="24" fillId="11" borderId="116" xfId="0" applyNumberFormat="1" applyFont="1" applyFill="1" applyBorder="1" applyAlignment="1">
      <alignment vertical="center"/>
    </xf>
    <xf numFmtId="164" fontId="22" fillId="11" borderId="117" xfId="0" applyNumberFormat="1" applyFont="1" applyFill="1" applyBorder="1" applyAlignment="1">
      <alignment vertical="center"/>
    </xf>
    <xf numFmtId="164" fontId="22" fillId="11" borderId="118" xfId="0" applyNumberFormat="1" applyFont="1" applyFill="1" applyBorder="1" applyAlignment="1">
      <alignment vertical="center"/>
    </xf>
    <xf numFmtId="164" fontId="22" fillId="11" borderId="119" xfId="0" applyNumberFormat="1" applyFont="1" applyFill="1" applyBorder="1" applyAlignment="1">
      <alignment vertical="center"/>
    </xf>
    <xf numFmtId="164" fontId="24" fillId="11" borderId="15" xfId="0" applyNumberFormat="1" applyFont="1" applyFill="1" applyBorder="1" applyAlignment="1">
      <alignment vertical="center"/>
    </xf>
    <xf numFmtId="0" fontId="1" fillId="4" borderId="17" xfId="0" applyFont="1" applyFill="1" applyBorder="1" applyAlignment="1" applyProtection="1">
      <alignment horizontal="center" vertical="center"/>
      <protection locked="0"/>
    </xf>
    <xf numFmtId="0" fontId="25" fillId="15" borderId="0" xfId="0" applyFont="1" applyFill="1"/>
    <xf numFmtId="0" fontId="2" fillId="15" borderId="0" xfId="0" applyFont="1" applyFill="1"/>
    <xf numFmtId="0" fontId="23" fillId="9" borderId="35" xfId="0" applyFont="1" applyFill="1" applyBorder="1" applyAlignment="1">
      <alignment vertical="center"/>
    </xf>
    <xf numFmtId="0" fontId="2" fillId="9" borderId="49" xfId="0" applyFont="1" applyFill="1" applyBorder="1" applyAlignment="1">
      <alignment horizontal="right" vertical="center"/>
    </xf>
    <xf numFmtId="0" fontId="31" fillId="0" borderId="0" xfId="0" applyFont="1"/>
    <xf numFmtId="0" fontId="2" fillId="9" borderId="35" xfId="0" applyFont="1" applyFill="1" applyBorder="1" applyAlignment="1">
      <alignment horizontal="center" vertical="center"/>
    </xf>
    <xf numFmtId="0" fontId="5" fillId="9" borderId="35" xfId="0" applyFont="1" applyFill="1" applyBorder="1" applyAlignment="1">
      <alignment vertical="center"/>
    </xf>
    <xf numFmtId="164" fontId="23" fillId="16" borderId="33" xfId="1" applyFont="1" applyFill="1" applyBorder="1" applyAlignment="1" applyProtection="1">
      <alignment vertical="center"/>
    </xf>
    <xf numFmtId="0" fontId="2" fillId="9" borderId="20" xfId="0" applyFont="1" applyFill="1" applyBorder="1" applyAlignment="1">
      <alignment vertical="center" wrapText="1"/>
    </xf>
    <xf numFmtId="0" fontId="32" fillId="0" borderId="0" xfId="0" applyFont="1"/>
    <xf numFmtId="14" fontId="32" fillId="0" borderId="0" xfId="0" applyNumberFormat="1" applyFont="1"/>
    <xf numFmtId="0" fontId="2" fillId="0" borderId="77" xfId="0" applyFont="1" applyBorder="1" applyAlignment="1">
      <alignment horizontal="right"/>
    </xf>
    <xf numFmtId="14" fontId="2" fillId="0" borderId="59" xfId="0" applyNumberFormat="1" applyFont="1" applyBorder="1" applyAlignment="1">
      <alignment horizontal="right"/>
    </xf>
    <xf numFmtId="0" fontId="32" fillId="0" borderId="77" xfId="0" applyFont="1" applyBorder="1"/>
    <xf numFmtId="14" fontId="32" fillId="0" borderId="59" xfId="0" applyNumberFormat="1" applyFont="1" applyBorder="1"/>
    <xf numFmtId="0" fontId="2" fillId="9" borderId="68" xfId="0" applyFont="1" applyFill="1" applyBorder="1" applyAlignment="1">
      <alignment horizontal="center" vertical="center"/>
    </xf>
    <xf numFmtId="0" fontId="2" fillId="9" borderId="37" xfId="0" applyFont="1" applyFill="1" applyBorder="1" applyAlignment="1">
      <alignment horizontal="center" vertical="center"/>
    </xf>
    <xf numFmtId="0" fontId="2" fillId="9" borderId="37" xfId="0" quotePrefix="1" applyFont="1" applyFill="1" applyBorder="1" applyAlignment="1">
      <alignment horizontal="center" vertical="center"/>
    </xf>
    <xf numFmtId="14" fontId="2" fillId="9" borderId="35" xfId="0" applyNumberFormat="1" applyFont="1" applyFill="1" applyBorder="1" applyAlignment="1">
      <alignment horizontal="center" vertical="center"/>
    </xf>
    <xf numFmtId="14" fontId="2" fillId="9" borderId="38" xfId="0" applyNumberFormat="1" applyFont="1" applyFill="1" applyBorder="1" applyAlignment="1">
      <alignment horizontal="center" vertical="center"/>
    </xf>
    <xf numFmtId="166" fontId="2" fillId="0" borderId="0" xfId="0" applyNumberFormat="1" applyFont="1"/>
    <xf numFmtId="0" fontId="3" fillId="0" borderId="0" xfId="0" applyFont="1" applyAlignment="1">
      <alignment horizontal="center" vertical="center"/>
    </xf>
    <xf numFmtId="0" fontId="4" fillId="0" borderId="1" xfId="3" applyFont="1" applyBorder="1" applyAlignment="1">
      <alignment horizontal="left" vertical="top" wrapText="1"/>
    </xf>
    <xf numFmtId="0" fontId="4" fillId="3" borderId="2"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5" fillId="0" borderId="4" xfId="3" applyFont="1" applyBorder="1" applyAlignment="1">
      <alignment horizontal="left" vertical="top" wrapText="1"/>
    </xf>
    <xf numFmtId="0" fontId="5" fillId="0" borderId="5" xfId="3" applyFont="1" applyBorder="1" applyAlignment="1">
      <alignment horizontal="left" vertical="center" wrapText="1"/>
    </xf>
    <xf numFmtId="0" fontId="4" fillId="3" borderId="6" xfId="3" applyFont="1" applyFill="1" applyBorder="1" applyAlignment="1">
      <alignment horizontal="center" vertical="center" wrapText="1"/>
    </xf>
    <xf numFmtId="0" fontId="4" fillId="3" borderId="7" xfId="3" applyFont="1" applyFill="1" applyBorder="1" applyAlignment="1">
      <alignment horizontal="center" vertical="center" wrapText="1"/>
    </xf>
    <xf numFmtId="0" fontId="5" fillId="0" borderId="8" xfId="3" applyFont="1" applyBorder="1" applyAlignment="1">
      <alignment horizontal="left" vertical="top" wrapText="1"/>
    </xf>
    <xf numFmtId="0" fontId="5" fillId="0" borderId="8" xfId="3" applyFont="1" applyBorder="1" applyAlignment="1">
      <alignment horizontal="left" vertical="center" wrapText="1"/>
    </xf>
    <xf numFmtId="0" fontId="4" fillId="3" borderId="13"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5" fillId="0" borderId="15" xfId="3" applyFont="1" applyBorder="1" applyAlignment="1">
      <alignment vertical="top" wrapText="1"/>
    </xf>
    <xf numFmtId="0" fontId="4" fillId="3" borderId="11" xfId="3" applyFont="1" applyFill="1" applyBorder="1" applyAlignment="1">
      <alignment horizontal="center" vertical="center" wrapText="1"/>
    </xf>
    <xf numFmtId="0" fontId="5" fillId="0" borderId="12" xfId="3" applyFont="1" applyBorder="1" applyAlignment="1">
      <alignment horizontal="left" vertical="top" wrapText="1"/>
    </xf>
    <xf numFmtId="0" fontId="9" fillId="4" borderId="0" xfId="0" applyFont="1" applyFill="1" applyAlignment="1">
      <alignment horizontal="center" vertical="center"/>
    </xf>
    <xf numFmtId="0" fontId="11" fillId="4" borderId="0" xfId="0" applyFont="1" applyFill="1" applyAlignment="1">
      <alignment horizontal="center" vertical="center" wrapText="1"/>
    </xf>
    <xf numFmtId="0" fontId="23" fillId="0" borderId="25" xfId="0" applyFont="1" applyBorder="1" applyAlignment="1">
      <alignment horizontal="left" vertical="top" wrapText="1"/>
    </xf>
    <xf numFmtId="0" fontId="12" fillId="4" borderId="0" xfId="0" applyFont="1" applyFill="1" applyAlignment="1">
      <alignment horizontal="center" vertical="center" wrapText="1"/>
    </xf>
    <xf numFmtId="0" fontId="14" fillId="0" borderId="19" xfId="0" applyFont="1" applyBorder="1" applyAlignment="1">
      <alignment horizontal="center" vertical="center"/>
    </xf>
    <xf numFmtId="0" fontId="15" fillId="6" borderId="17" xfId="4" applyFont="1" applyFill="1" applyBorder="1" applyAlignment="1">
      <alignment horizontal="center" vertical="center" wrapText="1"/>
    </xf>
    <xf numFmtId="0" fontId="18" fillId="7" borderId="25" xfId="0" applyFont="1" applyFill="1" applyBorder="1" applyAlignment="1">
      <alignment horizontal="center" vertical="center"/>
    </xf>
    <xf numFmtId="0" fontId="20" fillId="7" borderId="25" xfId="0" applyFont="1" applyFill="1" applyBorder="1" applyAlignment="1">
      <alignment horizontal="center" vertical="center"/>
    </xf>
    <xf numFmtId="0" fontId="26" fillId="7" borderId="25" xfId="0" applyFont="1" applyFill="1" applyBorder="1" applyAlignment="1">
      <alignment horizontal="center" vertical="center"/>
    </xf>
    <xf numFmtId="0" fontId="23" fillId="0" borderId="25" xfId="0" applyFont="1" applyBorder="1" applyAlignment="1">
      <alignment horizontal="left" vertical="center" wrapText="1"/>
    </xf>
    <xf numFmtId="0" fontId="4" fillId="4" borderId="0" xfId="0" applyFont="1" applyFill="1" applyAlignment="1">
      <alignment horizontal="left" vertical="center" wrapText="1"/>
    </xf>
    <xf numFmtId="0" fontId="1" fillId="4" borderId="0" xfId="0" applyFont="1" applyFill="1" applyAlignment="1">
      <alignment horizontal="left" vertical="center"/>
    </xf>
    <xf numFmtId="0" fontId="1" fillId="4" borderId="0" xfId="0" applyFont="1" applyFill="1" applyAlignment="1">
      <alignment horizontal="left" wrapText="1"/>
    </xf>
    <xf numFmtId="0" fontId="1" fillId="4" borderId="0" xfId="0" applyFont="1" applyFill="1" applyAlignment="1">
      <alignment horizontal="left"/>
    </xf>
    <xf numFmtId="0" fontId="18" fillId="7" borderId="23" xfId="0" applyFont="1" applyFill="1" applyBorder="1" applyAlignment="1">
      <alignment horizontal="left" vertical="center"/>
    </xf>
    <xf numFmtId="0" fontId="19" fillId="7" borderId="23" xfId="0" applyFont="1" applyFill="1" applyBorder="1" applyAlignment="1">
      <alignment horizontal="right" vertical="center"/>
    </xf>
    <xf numFmtId="0" fontId="18" fillId="7" borderId="24" xfId="0" applyFont="1" applyFill="1" applyBorder="1" applyAlignment="1">
      <alignment horizontal="left" vertical="center"/>
    </xf>
    <xf numFmtId="0" fontId="26" fillId="7" borderId="63" xfId="0" applyFont="1" applyFill="1" applyBorder="1" applyAlignment="1">
      <alignment horizontal="center" vertical="center"/>
    </xf>
    <xf numFmtId="0" fontId="1" fillId="4" borderId="0" xfId="0" applyFont="1" applyFill="1" applyAlignment="1">
      <alignment horizontal="left" vertical="center" wrapText="1"/>
    </xf>
    <xf numFmtId="0" fontId="19" fillId="7" borderId="23" xfId="0" applyFont="1" applyFill="1" applyBorder="1" applyAlignment="1">
      <alignment horizontal="center" vertical="center"/>
    </xf>
  </cellXfs>
  <cellStyles count="5">
    <cellStyle name="Monétaire" xfId="1" builtinId="4"/>
    <cellStyle name="Normal" xfId="0" builtinId="0"/>
    <cellStyle name="Normal 2 3" xfId="3" xr:uid="{00000000-0005-0000-0000-000002000000}"/>
    <cellStyle name="Normal 4" xfId="4" xr:uid="{00000000-0005-0000-0000-000003000000}"/>
    <cellStyle name="Pourcentage" xfId="2" builtinId="5"/>
  </cellStyles>
  <dxfs count="30">
    <dxf>
      <fill>
        <patternFill>
          <bgColor rgb="FFF4B183"/>
        </patternFill>
      </fill>
    </dxf>
    <dxf>
      <fill>
        <patternFill>
          <bgColor rgb="FFF4B183"/>
        </patternFill>
      </fill>
    </dxf>
    <dxf>
      <fill>
        <patternFill>
          <bgColor rgb="FFF4B183"/>
        </patternFill>
      </fill>
    </dxf>
    <dxf>
      <fill>
        <patternFill>
          <bgColor rgb="FFF4B183"/>
        </patternFill>
      </fill>
    </dxf>
    <dxf>
      <fill>
        <patternFill>
          <bgColor rgb="FFF4B183"/>
        </patternFill>
      </fill>
    </dxf>
    <dxf>
      <fill>
        <patternFill>
          <bgColor rgb="FFF4B183"/>
        </patternFill>
      </fill>
    </dxf>
    <dxf>
      <fill>
        <patternFill>
          <bgColor rgb="FFF4B183"/>
        </patternFill>
      </fill>
    </dxf>
    <dxf>
      <fill>
        <patternFill>
          <bgColor rgb="FFF4B183"/>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4B183"/>
        </patternFill>
      </fill>
    </dxf>
    <dxf>
      <fill>
        <patternFill>
          <bgColor rgb="FFF4B183"/>
        </patternFill>
      </fill>
    </dxf>
    <dxf>
      <fill>
        <patternFill>
          <bgColor rgb="FFF4B183"/>
        </patternFill>
      </fill>
    </dxf>
    <dxf>
      <font>
        <b val="0"/>
        <i val="0"/>
        <strike val="0"/>
        <condense val="0"/>
        <extend val="0"/>
        <outline val="0"/>
        <shadow val="0"/>
        <u val="none"/>
        <vertAlign val="baseline"/>
        <sz val="11"/>
        <color rgb="FF000000"/>
        <name val="Arial"/>
        <scheme val="none"/>
      </font>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rgb="FF000000"/>
        <name val="Arial"/>
        <scheme val="none"/>
      </font>
      <alignment horizontal="general" vertical="bottom" textRotation="0" wrapText="0" indent="0" justifyLastLine="0" shrinkToFit="0" readingOrder="0"/>
      <protection locked="1" hidden="0"/>
    </dxf>
    <dxf>
      <numFmt numFmtId="164" formatCode="_-* #,##0.00&quot; €&quot;_-;\-* #,##0.00&quot; €&quot;_-;_-* \-??&quot; €&quot;_-;_-@_-"/>
      <border diagonalUp="0" diagonalDown="0">
        <left/>
        <right style="medium">
          <color auto="1"/>
        </right>
        <top/>
        <bottom/>
        <vertical/>
        <horizontal/>
      </border>
    </dxf>
    <dxf>
      <numFmt numFmtId="164" formatCode="_-* #,##0.00&quot; €&quot;_-;\-* #,##0.00&quot; €&quot;_-;_-* \-??&quot; €&quot;_-;_-@_-"/>
    </dxf>
    <dxf>
      <font>
        <b val="0"/>
        <i val="0"/>
        <strike val="0"/>
        <condense val="0"/>
        <extend val="0"/>
        <outline val="0"/>
        <shadow val="0"/>
        <u val="none"/>
        <vertAlign val="baseline"/>
        <sz val="11"/>
        <color rgb="FF000000"/>
        <name val="Arial"/>
        <scheme val="none"/>
      </font>
      <fill>
        <patternFill patternType="solid">
          <fgColor rgb="FFDEEBF7"/>
          <bgColor rgb="FFDCE6F1"/>
        </patternFill>
      </fill>
      <alignment horizontal="general"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1" hidden="0"/>
    </dxf>
    <dxf>
      <alignment horizontal="right" vertical="center" textRotation="0" wrapText="0" indent="0" justifyLastLine="0" shrinkToFit="0" readingOrder="0"/>
    </dxf>
    <dxf>
      <border outline="0">
        <right style="hair">
          <color rgb="FF0D0D0D"/>
        </right>
      </border>
    </dxf>
    <dxf>
      <border diagonalUp="0" diagonalDown="0">
        <left style="medium">
          <color auto="1"/>
        </left>
        <right/>
        <top/>
        <bottom/>
        <vertical/>
        <horizontal/>
      </border>
    </dxf>
    <dxf>
      <font>
        <b val="0"/>
        <i val="0"/>
        <strike val="0"/>
        <condense val="0"/>
        <extend val="0"/>
        <outline val="0"/>
        <shadow val="0"/>
        <u val="none"/>
        <vertAlign val="baseline"/>
        <sz val="11"/>
        <color rgb="FF000000"/>
        <name val="Arial"/>
        <scheme val="none"/>
      </font>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rgb="FF000000"/>
        <name val="Arial"/>
        <scheme val="none"/>
      </font>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rgb="FF000000"/>
        <name val="Arial"/>
        <scheme val="none"/>
      </font>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rgb="FF000000"/>
        <name val="Arial"/>
        <scheme val="none"/>
      </font>
      <alignment horizontal="general" vertical="bottom" textRotation="0" wrapText="0" indent="0" justifyLastLine="0" shrinkToFit="0" readingOrder="0"/>
      <protection locked="1" hidden="0"/>
    </dxf>
    <dxf>
      <numFmt numFmtId="164" formatCode="_-* #,##0.00&quot; €&quot;_-;\-* #,##0.00&quot; €&quot;_-;_-* \-??&quot; €&quot;_-;_-@_-"/>
    </dxf>
    <dxf>
      <numFmt numFmtId="164" formatCode="_-* #,##0.00&quot; €&quot;_-;\-* #,##0.00&quot; €&quot;_-;_-* \-??&quot; €&quot;_-;_-@_-"/>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538DD5"/>
      <rgbColor rgb="FF9999FF"/>
      <rgbColor rgb="FF7030A0"/>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DCE6F1"/>
      <rgbColor rgb="FFE2F0D9"/>
      <rgbColor rgb="FFFFFF99"/>
      <rgbColor rgb="FF99CCFF"/>
      <rgbColor rgb="FFFF99CC"/>
      <rgbColor rgb="FFCC99FF"/>
      <rgbColor rgb="FFF8CBAD"/>
      <rgbColor rgb="FF4472C4"/>
      <rgbColor rgb="FF33CCCC"/>
      <rgbColor rgb="FF92D050"/>
      <rgbColor rgb="FFFFCC00"/>
      <rgbColor rgb="FFFF9900"/>
      <rgbColor rgb="FFFF6600"/>
      <rgbColor rgb="FF4F81BD"/>
      <rgbColor rgb="FF969696"/>
      <rgbColor rgb="FF002060"/>
      <rgbColor rgb="FF339966"/>
      <rgbColor rgb="FF0D0D0D"/>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538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au_ERD" displayName="Tableau_ERD" ref="B9:J17" totalsRowShown="0">
  <tableColumns count="9">
    <tableColumn id="1" xr3:uid="{00000000-0010-0000-0000-000001000000}" name="Nature de la dépense par poste"/>
    <tableColumn id="2" xr3:uid="{00000000-0010-0000-0000-000002000000}" name="Montant total de l'opération"/>
    <tableColumn id="3" xr3:uid="{00000000-0010-0000-0000-000003000000}" name="Non éligible"/>
    <tableColumn id="4" xr3:uid="{00000000-0010-0000-0000-000004000000}" name="RF"/>
    <tableColumn id="5" xr3:uid="{00000000-0010-0000-0000-000005000000}" name="RI"/>
    <tableColumn id="6" xr3:uid="{00000000-0010-0000-0000-000006000000}" name="DE"/>
    <tableColumn id="7" xr3:uid="{00000000-0010-0000-0000-000007000000}" name="PE"/>
    <tableColumn id="8" xr3:uid="{00000000-0010-0000-0000-000008000000}" name="RD"/>
    <tableColumn id="9" xr3:uid="{00000000-0010-0000-0000-000009000000}" name="TOTAL"/>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leau_Salaires" displayName="Tableau_Salaires" ref="A11:S43" totalsRowShown="0">
  <tableColumns count="19">
    <tableColumn id="1" xr3:uid="{00000000-0010-0000-0100-000001000000}" name="Nom et prénom ou matricule"/>
    <tableColumn id="2" xr3:uid="{00000000-0010-0000-0100-000002000000}" name="Type d'emploi (non applicable si entreprise privée)"/>
    <tableColumn id="3" xr3:uid="{00000000-0010-0000-0100-000003000000}" name="Fonction / Intitulé du poste"/>
    <tableColumn id="4" xr3:uid="{00000000-0010-0000-0100-000004000000}" name="Tâches ou lot"/>
    <tableColumn id="5" xr3:uid="{00000000-0010-0000-0100-000005000000}" name="Date de début"/>
    <tableColumn id="6" xr3:uid="{00000000-0010-0000-0100-000006000000}" name="Date de fin"/>
    <tableColumn id="7" xr3:uid="{00000000-0010-0000-0100-000007000000}" name="Unité de temps"/>
    <tableColumn id="8" xr3:uid="{00000000-0010-0000-0100-000008000000}" name="Nombre d'unité"/>
    <tableColumn id="9" xr3:uid="{00000000-0010-0000-0100-000009000000}" name="Coût unitaire de la grille salariale  (salaire chargé non environné)"/>
    <tableColumn id="10" xr3:uid="{00000000-0010-0000-0100-00000A000000}" name="Montant total de l'opération en €"/>
    <tableColumn id="11" xr3:uid="{00000000-0010-0000-0100-00000B000000}" name="Non éligible" dataDxfId="29"/>
    <tableColumn id="12" xr3:uid="{00000000-0010-0000-0100-00000C000000}" name="RF"/>
    <tableColumn id="13" xr3:uid="{00000000-0010-0000-0100-00000D000000}" name="RI"/>
    <tableColumn id="14" xr3:uid="{00000000-0010-0000-0100-00000E000000}" name="DE" dataDxfId="28"/>
    <tableColumn id="15" xr3:uid="{00000000-0010-0000-0100-00000F000000}" name="PE"/>
    <tableColumn id="16" xr3:uid="{00000000-0010-0000-0100-000010000000}" name="RD"/>
    <tableColumn id="17" xr3:uid="{00000000-0010-0000-0100-000011000000}" name="TOTAL"/>
    <tableColumn id="18" xr3:uid="{00000000-0010-0000-0100-000012000000}" name="Numéro de pièce comptable facturation" dataDxfId="27"/>
    <tableColumn id="19" xr3:uid="{00000000-0010-0000-0100-000013000000}" name="Date de _x000a_paiement" dataDxfId="2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Tableau_SousTraitance" displayName="Tableau_SousTraitance" ref="A9:O15" totalsRowShown="0">
  <tableColumns count="15">
    <tableColumn id="1" xr3:uid="{00000000-0010-0000-0200-000001000000}" name="Fournisseur"/>
    <tableColumn id="2" xr3:uid="{00000000-0010-0000-0200-000002000000}" name="Désignation / Objet de la dépense"/>
    <tableColumn id="3" xr3:uid="{00000000-0010-0000-0200-000003000000}" name="Tâche ou lot"/>
    <tableColumn id="4" xr3:uid="{00000000-0010-0000-0200-000004000000}" name="N° Facture"/>
    <tableColumn id="5" xr3:uid="{00000000-0010-0000-0200-000005000000}" name="Pays de réalisation de la prestation"/>
    <tableColumn id="6" xr3:uid="{00000000-0010-0000-0200-000006000000}" name="Date facture"/>
    <tableColumn id="7" xr3:uid="{00000000-0010-0000-0200-000007000000}" name="ECI*=Prestation réalisée ECF**=Facture acquitée"/>
    <tableColumn id="8" xr3:uid="{00000000-0010-0000-0200-000008000000}" name="Montant total de l'opération en €"/>
    <tableColumn id="9" xr3:uid="{00000000-0010-0000-0200-000009000000}" name="Non éligible"/>
    <tableColumn id="10" xr3:uid="{00000000-0010-0000-0200-00000A000000}" name="RF"/>
    <tableColumn id="11" xr3:uid="{00000000-0010-0000-0200-00000B000000}" name="RI"/>
    <tableColumn id="12" xr3:uid="{00000000-0010-0000-0200-00000C000000}" name="DE"/>
    <tableColumn id="13" xr3:uid="{00000000-0010-0000-0200-00000D000000}" name="PE"/>
    <tableColumn id="14" xr3:uid="{00000000-0010-0000-0200-00000E000000}" name="RD"/>
    <tableColumn id="15" xr3:uid="{00000000-0010-0000-0200-00000F000000}" name=" Total_x005f_x000a_éligible"/>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au_Refacturation" displayName="Tableau_Refacturation" ref="A9:P15" totalsRowShown="0">
  <tableColumns count="16">
    <tableColumn id="1" xr3:uid="{00000000-0010-0000-0300-000001000000}" name="Fournisseur interne / Nom"/>
    <tableColumn id="2" xr3:uid="{00000000-0010-0000-0300-000002000000}" name="Désignation / Objet de la dépense"/>
    <tableColumn id="3" xr3:uid="{00000000-0010-0000-0300-000003000000}" name="Tâche ou lot"/>
    <tableColumn id="4" xr3:uid="{00000000-0010-0000-0300-000004000000}" name="Numéro dépense ou référence interne"/>
    <tableColumn id="5" xr3:uid="{00000000-0010-0000-0300-000005000000}" name="Date dépense"/>
    <tableColumn id="6" xr3:uid="{00000000-0010-0000-0300-000006000000}" name="Unité de temps"/>
    <tableColumn id="7" xr3:uid="{00000000-0010-0000-0300-000007000000}" name="Nombre d'unité"/>
    <tableColumn id="8" xr3:uid="{00000000-0010-0000-0300-000008000000}" name="Coût unitaire"/>
    <tableColumn id="9" xr3:uid="{00000000-0010-0000-0300-000009000000}" name="Montant total de l'opération en €"/>
    <tableColumn id="10" xr3:uid="{00000000-0010-0000-0300-00000A000000}" name="Non éligible"/>
    <tableColumn id="11" xr3:uid="{00000000-0010-0000-0300-00000B000000}" name="RF"/>
    <tableColumn id="12" xr3:uid="{00000000-0010-0000-0300-00000C000000}" name="RI"/>
    <tableColumn id="13" xr3:uid="{00000000-0010-0000-0300-00000D000000}" name="DE"/>
    <tableColumn id="14" xr3:uid="{00000000-0010-0000-0300-00000E000000}" name="PE"/>
    <tableColumn id="15" xr3:uid="{00000000-0010-0000-0300-00000F000000}" name="RD"/>
    <tableColumn id="16" xr3:uid="{00000000-0010-0000-0300-000010000000}" name=" Total_x005f_x000a_éligible"/>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au_FraisMissions" displayName="Tableau_FraisMissions" ref="A9:Q14" totalsRowShown="0">
  <tableColumns count="17">
    <tableColumn id="1" xr3:uid="{00000000-0010-0000-0400-000001000000}" name="Nom et prénom ou matricule"/>
    <tableColumn id="2" xr3:uid="{00000000-0010-0000-0400-000002000000}" name="Désignation / Objet de la dépense"/>
    <tableColumn id="3" xr3:uid="{00000000-0010-0000-0400-000003000000}" name="Motif de la mission"/>
    <tableColumn id="4" xr3:uid="{00000000-0010-0000-0400-000004000000}" name="Tâche ou lot"/>
    <tableColumn id="5" xr3:uid="{00000000-0010-0000-0400-000005000000}" name="N° Facture ou référence interne (si note de frais)"/>
    <tableColumn id="6" xr3:uid="{00000000-0010-0000-0400-000006000000}" name="Date facture ou pièce"/>
    <tableColumn id="7" xr3:uid="{00000000-0010-0000-0400-000007000000}" name="ECI*=Prestation réalisée ECF**=Facture acquitée"/>
    <tableColumn id="8" xr3:uid="{00000000-0010-0000-0400-000008000000}" name="Montant total de l'opération en €"/>
    <tableColumn id="9" xr3:uid="{00000000-0010-0000-0400-000009000000}" name="Non éligible"/>
    <tableColumn id="10" xr3:uid="{00000000-0010-0000-0400-00000A000000}" name="RF"/>
    <tableColumn id="11" xr3:uid="{00000000-0010-0000-0400-00000B000000}" name="RI"/>
    <tableColumn id="12" xr3:uid="{00000000-0010-0000-0400-00000C000000}" name="DE"/>
    <tableColumn id="13" xr3:uid="{00000000-0010-0000-0400-00000D000000}" name="PE"/>
    <tableColumn id="14" xr3:uid="{00000000-0010-0000-0400-00000E000000}" name="RD"/>
    <tableColumn id="15" xr3:uid="{00000000-0010-0000-0400-00000F000000}" name="TOTAL"/>
    <tableColumn id="16" xr3:uid="{00000000-0010-0000-0400-000010000000}" name="Numéro de pièce comptable facturation" dataDxfId="25"/>
    <tableColumn id="17" xr3:uid="{00000000-0010-0000-0400-000011000000}" name="Date de _x000a_paiement" dataDxfId="2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leau_AutresCoûts" displayName="Tableau_AutresCoûts" ref="A9:P20" totalsRowShown="0">
  <tableColumns count="16">
    <tableColumn id="1" xr3:uid="{00000000-0010-0000-0500-000001000000}" name="Fournisseur" dataDxfId="23"/>
    <tableColumn id="2" xr3:uid="{00000000-0010-0000-0500-000002000000}" name="Désignation / Objet de la dépense" dataDxfId="22"/>
    <tableColumn id="3" xr3:uid="{00000000-0010-0000-0500-000003000000}" name="Tâche ou lot" dataDxfId="21"/>
    <tableColumn id="4" xr3:uid="{00000000-0010-0000-0500-000004000000}" name="N° Facture"/>
    <tableColumn id="5" xr3:uid="{00000000-0010-0000-0500-000005000000}" name="Date facture"/>
    <tableColumn id="6" xr3:uid="{00000000-0010-0000-0500-000006000000}" name="ECI*=Prestation réalisée ECF**=Facture acquitée"/>
    <tableColumn id="7" xr3:uid="{00000000-0010-0000-0500-000007000000}" name="Montant total de l'opération en €"/>
    <tableColumn id="8" xr3:uid="{00000000-0010-0000-0500-000008000000}" name="Non éligible"/>
    <tableColumn id="9" xr3:uid="{00000000-0010-0000-0500-000009000000}" name="RF"/>
    <tableColumn id="10" xr3:uid="{00000000-0010-0000-0500-00000A000000}" name="RI"/>
    <tableColumn id="11" xr3:uid="{00000000-0010-0000-0500-00000B000000}" name="DE" dataDxfId="20" dataCellStyle="Monétaire">
      <calculatedColumnFormula>Tableau_AutresCoûts[[#This Row],[Montant total de l''opération en €]]</calculatedColumnFormula>
    </tableColumn>
    <tableColumn id="12" xr3:uid="{00000000-0010-0000-0500-00000C000000}" name="PE" dataDxfId="19"/>
    <tableColumn id="13" xr3:uid="{00000000-0010-0000-0500-00000D000000}" name="RD"/>
    <tableColumn id="14" xr3:uid="{00000000-0010-0000-0500-00000E000000}" name="TOTAL" dataDxfId="18">
      <calculatedColumnFormula>SUM(Tableau_AutresCoûts[[#This Row],[DE]:[RD]])</calculatedColumnFormula>
    </tableColumn>
    <tableColumn id="15" xr3:uid="{00000000-0010-0000-0500-00000F000000}" name="Numéro de pièce comptable facturation" dataDxfId="17"/>
    <tableColumn id="16" xr3:uid="{00000000-0010-0000-0500-000010000000}" name="Date de _x000a_paiement" dataDxfId="16"/>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au_Amortissements" displayName="Tableau_Amortissements" ref="A9:T13" totalsRowShown="0">
  <tableColumns count="20">
    <tableColumn id="1" xr3:uid="{00000000-0010-0000-0600-000001000000}" name="Fournisseur d'immobilisation"/>
    <tableColumn id="2" xr3:uid="{00000000-0010-0000-0600-000002000000}" name="Désignation / Objet de la dépense"/>
    <tableColumn id="3" xr3:uid="{00000000-0010-0000-0600-000003000000}" name="Tâche ou lot"/>
    <tableColumn id="4" xr3:uid="{00000000-0010-0000-0600-000004000000}" name="N° Facture"/>
    <tableColumn id="5" xr3:uid="{00000000-0010-0000-0600-000005000000}" name="Date début amortissement"/>
    <tableColumn id="6" xr3:uid="{00000000-0010-0000-0600-000006000000}" name="Valeur d'origine en €"/>
    <tableColumn id="7" xr3:uid="{00000000-0010-0000-0600-000007000000}" name="Durée d'amortissement comptable (en année)"/>
    <tableColumn id="8" xr3:uid="{00000000-0010-0000-0600-000008000000}" name="Taux d'amortissement comptable"/>
    <tableColumn id="9" xr3:uid="{00000000-0010-0000-0600-000009000000}" name="Type linéaire (L) ou dégressif (D)"/>
    <tableColumn id="10" xr3:uid="{00000000-0010-0000-0600-00000A000000}" name="Montant amortissement annuel en €"/>
    <tableColumn id="11" xr3:uid="{00000000-0010-0000-0600-00000B000000}" name="Montant  justifié sur période ERD"/>
    <tableColumn id="12" xr3:uid="{00000000-0010-0000-0600-00000C000000}" name="Quote part d'utilisation sur le projet  (en %)"/>
    <tableColumn id="13" xr3:uid="{00000000-0010-0000-0600-00000D000000}" name="Montant total de l'opération en €"/>
    <tableColumn id="14" xr3:uid="{00000000-0010-0000-0600-00000E000000}" name="Non éligible"/>
    <tableColumn id="15" xr3:uid="{00000000-0010-0000-0600-00000F000000}" name="RF"/>
    <tableColumn id="16" xr3:uid="{00000000-0010-0000-0600-000010000000}" name="RI"/>
    <tableColumn id="17" xr3:uid="{00000000-0010-0000-0600-000011000000}" name="DE"/>
    <tableColumn id="18" xr3:uid="{00000000-0010-0000-0600-000012000000}" name="PE"/>
    <tableColumn id="19" xr3:uid="{00000000-0010-0000-0600-000013000000}" name="RD"/>
    <tableColumn id="20" xr3:uid="{00000000-0010-0000-0600-000014000000}" name="TOTAL"/>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7000000}" name="Tableau_AutresCoûts4" displayName="Tableau_AutresCoûts4" ref="A9:N14" totalsRowShown="0">
  <tableColumns count="14">
    <tableColumn id="1" xr3:uid="{00000000-0010-0000-0700-000001000000}" name="Fournisseur"/>
    <tableColumn id="2" xr3:uid="{00000000-0010-0000-0700-000002000000}" name="Désignation / Objet de la dépense"/>
    <tableColumn id="3" xr3:uid="{00000000-0010-0000-0700-000003000000}" name="Tâche ou lot"/>
    <tableColumn id="4" xr3:uid="{00000000-0010-0000-0700-000004000000}" name="N° Facture"/>
    <tableColumn id="5" xr3:uid="{00000000-0010-0000-0700-000005000000}" name="Date facture"/>
    <tableColumn id="6" xr3:uid="{00000000-0010-0000-0700-000006000000}" name="ECI*=Bien livré ECF**=Facture acquitée"/>
    <tableColumn id="7" xr3:uid="{00000000-0010-0000-0700-000007000000}" name="Montant total de l'opération en €"/>
    <tableColumn id="8" xr3:uid="{00000000-0010-0000-0700-000008000000}" name="Non éligible"/>
    <tableColumn id="9" xr3:uid="{00000000-0010-0000-0700-000009000000}" name="RF"/>
    <tableColumn id="10" xr3:uid="{00000000-0010-0000-0700-00000A000000}" name="RI"/>
    <tableColumn id="11" xr3:uid="{00000000-0010-0000-0700-00000B000000}" name="DE"/>
    <tableColumn id="12" xr3:uid="{00000000-0010-0000-0700-00000C000000}" name="PE"/>
    <tableColumn id="13" xr3:uid="{00000000-0010-0000-0700-00000D000000}" name="RD"/>
    <tableColumn id="14" xr3:uid="{00000000-0010-0000-0700-00000E000000}" name=" Total_x005f_x000a_éligible"/>
  </tableColumns>
  <tableStyleInfo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31"/>
  <sheetViews>
    <sheetView showRowColHeaders="0" topLeftCell="A16" zoomScaleNormal="100" workbookViewId="0">
      <selection activeCell="B24" sqref="B24:W24"/>
    </sheetView>
  </sheetViews>
  <sheetFormatPr baseColWidth="10" defaultColWidth="10.6640625" defaultRowHeight="14" x14ac:dyDescent="0.15"/>
  <cols>
    <col min="1" max="1" width="3.5" style="1" customWidth="1"/>
    <col min="2" max="23" width="6.6640625" style="1" customWidth="1"/>
    <col min="24" max="16384" width="10.6640625" style="1"/>
  </cols>
  <sheetData>
    <row r="1" spans="2:23" ht="18" x14ac:dyDescent="0.15">
      <c r="B1" s="238" t="s">
        <v>0</v>
      </c>
      <c r="C1" s="238"/>
      <c r="D1" s="238"/>
      <c r="E1" s="238"/>
      <c r="F1" s="238"/>
      <c r="G1" s="238"/>
      <c r="H1" s="238"/>
      <c r="I1" s="238"/>
      <c r="J1" s="238"/>
      <c r="K1" s="238"/>
      <c r="L1" s="238"/>
      <c r="M1" s="238"/>
      <c r="N1" s="238"/>
      <c r="O1" s="238"/>
      <c r="P1" s="238"/>
      <c r="Q1" s="238"/>
      <c r="R1" s="238"/>
      <c r="S1" s="238"/>
      <c r="T1" s="238"/>
      <c r="U1" s="238"/>
      <c r="V1" s="238"/>
      <c r="W1" s="238"/>
    </row>
    <row r="3" spans="2:23" ht="14.25" customHeight="1" x14ac:dyDescent="0.15">
      <c r="B3" s="239" t="s">
        <v>1</v>
      </c>
      <c r="C3" s="239"/>
      <c r="D3" s="239"/>
      <c r="E3" s="239"/>
      <c r="F3" s="239"/>
      <c r="G3" s="239"/>
      <c r="H3" s="239"/>
      <c r="I3" s="239"/>
      <c r="J3" s="239"/>
      <c r="K3" s="239"/>
      <c r="L3" s="239"/>
      <c r="M3" s="239"/>
      <c r="N3" s="239"/>
      <c r="O3" s="239"/>
      <c r="P3" s="239"/>
      <c r="Q3" s="239"/>
      <c r="R3" s="239"/>
      <c r="S3" s="239"/>
      <c r="T3" s="239"/>
      <c r="U3" s="239"/>
      <c r="V3" s="239"/>
      <c r="W3" s="239"/>
    </row>
    <row r="4" spans="2:23" ht="277.5" customHeight="1" x14ac:dyDescent="0.15">
      <c r="B4" s="239"/>
      <c r="C4" s="239"/>
      <c r="D4" s="239"/>
      <c r="E4" s="239"/>
      <c r="F4" s="239"/>
      <c r="G4" s="239"/>
      <c r="H4" s="239"/>
      <c r="I4" s="239"/>
      <c r="J4" s="239"/>
      <c r="K4" s="239"/>
      <c r="L4" s="239"/>
      <c r="M4" s="239"/>
      <c r="N4" s="239"/>
      <c r="O4" s="239"/>
      <c r="P4" s="239"/>
      <c r="Q4" s="239"/>
      <c r="R4" s="239"/>
      <c r="S4" s="239"/>
      <c r="T4" s="239"/>
      <c r="U4" s="239"/>
      <c r="V4" s="239"/>
      <c r="W4" s="239"/>
    </row>
    <row r="5" spans="2:23" ht="15" customHeight="1" x14ac:dyDescent="0.15">
      <c r="B5" s="240" t="s">
        <v>2</v>
      </c>
      <c r="C5" s="240"/>
      <c r="D5" s="240"/>
      <c r="E5" s="240"/>
      <c r="F5" s="240"/>
      <c r="G5" s="240"/>
      <c r="H5" s="240"/>
      <c r="I5" s="240"/>
      <c r="J5" s="240"/>
      <c r="K5" s="240"/>
      <c r="L5" s="240"/>
      <c r="M5" s="240"/>
      <c r="N5" s="240"/>
      <c r="O5" s="240"/>
      <c r="P5" s="240"/>
      <c r="Q5" s="240"/>
      <c r="R5" s="240"/>
      <c r="S5" s="240"/>
      <c r="T5" s="240"/>
      <c r="U5" s="240"/>
      <c r="V5" s="240"/>
      <c r="W5" s="240"/>
    </row>
    <row r="6" spans="2:23" ht="14.25" customHeight="1" x14ac:dyDescent="0.15">
      <c r="B6" s="241" t="s">
        <v>3</v>
      </c>
      <c r="C6" s="241"/>
      <c r="D6" s="241"/>
      <c r="E6" s="241"/>
      <c r="F6" s="242" t="s">
        <v>4</v>
      </c>
      <c r="G6" s="242"/>
      <c r="H6" s="242"/>
      <c r="I6" s="242"/>
      <c r="J6" s="242"/>
      <c r="K6" s="242"/>
      <c r="L6" s="242"/>
      <c r="M6" s="242"/>
      <c r="N6" s="242"/>
      <c r="O6" s="242"/>
      <c r="P6" s="242"/>
      <c r="Q6" s="242"/>
      <c r="R6" s="242"/>
      <c r="S6" s="242"/>
      <c r="T6" s="242"/>
      <c r="U6" s="242"/>
      <c r="V6" s="242"/>
      <c r="W6" s="242"/>
    </row>
    <row r="7" spans="2:23" x14ac:dyDescent="0.15">
      <c r="B7" s="241"/>
      <c r="C7" s="241"/>
      <c r="D7" s="241"/>
      <c r="E7" s="241"/>
      <c r="F7" s="242"/>
      <c r="G7" s="242"/>
      <c r="H7" s="242"/>
      <c r="I7" s="242"/>
      <c r="J7" s="242"/>
      <c r="K7" s="242"/>
      <c r="L7" s="242"/>
      <c r="M7" s="242"/>
      <c r="N7" s="242"/>
      <c r="O7" s="242"/>
      <c r="P7" s="242"/>
      <c r="Q7" s="242"/>
      <c r="R7" s="242"/>
      <c r="S7" s="242"/>
      <c r="T7" s="242"/>
      <c r="U7" s="242"/>
      <c r="V7" s="242"/>
      <c r="W7" s="242"/>
    </row>
    <row r="8" spans="2:23" ht="34.25" customHeight="1" x14ac:dyDescent="0.15">
      <c r="B8" s="241"/>
      <c r="C8" s="241"/>
      <c r="D8" s="241"/>
      <c r="E8" s="241"/>
      <c r="F8" s="242"/>
      <c r="G8" s="242"/>
      <c r="H8" s="242"/>
      <c r="I8" s="242"/>
      <c r="J8" s="242"/>
      <c r="K8" s="242"/>
      <c r="L8" s="242"/>
      <c r="M8" s="242"/>
      <c r="N8" s="242"/>
      <c r="O8" s="242"/>
      <c r="P8" s="242"/>
      <c r="Q8" s="242"/>
      <c r="R8" s="242"/>
      <c r="S8" s="242"/>
      <c r="T8" s="242"/>
      <c r="U8" s="242"/>
      <c r="V8" s="242"/>
      <c r="W8" s="242"/>
    </row>
    <row r="9" spans="2:23" ht="57.5" customHeight="1" x14ac:dyDescent="0.15">
      <c r="B9" s="241" t="s">
        <v>5</v>
      </c>
      <c r="C9" s="241"/>
      <c r="D9" s="241"/>
      <c r="E9" s="241"/>
      <c r="F9" s="243" t="s">
        <v>6</v>
      </c>
      <c r="G9" s="243"/>
      <c r="H9" s="243"/>
      <c r="I9" s="243"/>
      <c r="J9" s="243"/>
      <c r="K9" s="243"/>
      <c r="L9" s="243"/>
      <c r="M9" s="243"/>
      <c r="N9" s="243"/>
      <c r="O9" s="243"/>
      <c r="P9" s="243"/>
      <c r="Q9" s="243"/>
      <c r="R9" s="243"/>
      <c r="S9" s="243"/>
      <c r="T9" s="243"/>
      <c r="U9" s="243"/>
      <c r="V9" s="243"/>
      <c r="W9" s="243"/>
    </row>
    <row r="10" spans="2:23" ht="84" customHeight="1" x14ac:dyDescent="0.15">
      <c r="B10" s="241" t="s">
        <v>7</v>
      </c>
      <c r="C10" s="241"/>
      <c r="D10" s="241"/>
      <c r="E10" s="241"/>
      <c r="F10" s="243" t="s">
        <v>8</v>
      </c>
      <c r="G10" s="243"/>
      <c r="H10" s="243"/>
      <c r="I10" s="243"/>
      <c r="J10" s="243"/>
      <c r="K10" s="243"/>
      <c r="L10" s="243"/>
      <c r="M10" s="243"/>
      <c r="N10" s="243"/>
      <c r="O10" s="243"/>
      <c r="P10" s="243"/>
      <c r="Q10" s="243"/>
      <c r="R10" s="243"/>
      <c r="S10" s="243"/>
      <c r="T10" s="243"/>
      <c r="U10" s="243"/>
      <c r="V10" s="243"/>
      <c r="W10" s="243"/>
    </row>
    <row r="11" spans="2:23" x14ac:dyDescent="0.15">
      <c r="B11" s="244"/>
      <c r="C11" s="244"/>
      <c r="D11" s="244"/>
      <c r="E11" s="244"/>
      <c r="F11" s="244"/>
      <c r="G11" s="244"/>
      <c r="H11" s="244"/>
      <c r="I11" s="244"/>
      <c r="J11" s="244"/>
      <c r="K11" s="244"/>
      <c r="L11" s="244"/>
      <c r="M11" s="244"/>
      <c r="N11" s="244"/>
      <c r="O11" s="244"/>
      <c r="P11" s="244"/>
      <c r="Q11" s="244"/>
      <c r="R11" s="244"/>
      <c r="S11" s="244"/>
      <c r="T11" s="244"/>
      <c r="U11" s="244"/>
      <c r="V11" s="244"/>
      <c r="W11" s="244"/>
    </row>
    <row r="12" spans="2:23" ht="14.25" customHeight="1" x14ac:dyDescent="0.15">
      <c r="B12" s="245" t="s">
        <v>9</v>
      </c>
      <c r="C12" s="245"/>
      <c r="D12" s="245"/>
      <c r="E12" s="245"/>
      <c r="F12" s="246" t="s">
        <v>10</v>
      </c>
      <c r="G12" s="246"/>
      <c r="H12" s="246"/>
      <c r="I12" s="246"/>
      <c r="J12" s="246"/>
      <c r="K12" s="246"/>
      <c r="L12" s="246"/>
      <c r="M12" s="246"/>
      <c r="N12" s="246"/>
      <c r="O12" s="246"/>
      <c r="P12" s="246"/>
      <c r="Q12" s="246"/>
      <c r="R12" s="246"/>
      <c r="S12" s="246"/>
      <c r="T12" s="246"/>
      <c r="U12" s="246"/>
      <c r="V12" s="246"/>
      <c r="W12" s="246"/>
    </row>
    <row r="13" spans="2:23" ht="117.75" customHeight="1" x14ac:dyDescent="0.15">
      <c r="B13" s="245"/>
      <c r="C13" s="245"/>
      <c r="D13" s="245"/>
      <c r="E13" s="245"/>
      <c r="F13" s="246"/>
      <c r="G13" s="246"/>
      <c r="H13" s="246"/>
      <c r="I13" s="246"/>
      <c r="J13" s="246"/>
      <c r="K13" s="246"/>
      <c r="L13" s="246"/>
      <c r="M13" s="246"/>
      <c r="N13" s="246"/>
      <c r="O13" s="246"/>
      <c r="P13" s="246"/>
      <c r="Q13" s="246"/>
      <c r="R13" s="246"/>
      <c r="S13" s="246"/>
      <c r="T13" s="246"/>
      <c r="U13" s="246"/>
      <c r="V13" s="246"/>
      <c r="W13" s="246"/>
    </row>
    <row r="14" spans="2:23" x14ac:dyDescent="0.15">
      <c r="B14" s="244"/>
      <c r="C14" s="244"/>
      <c r="D14" s="244"/>
      <c r="E14" s="244"/>
      <c r="F14" s="244"/>
      <c r="G14" s="244"/>
      <c r="H14" s="244"/>
      <c r="I14" s="244"/>
      <c r="J14" s="244"/>
      <c r="K14" s="244"/>
      <c r="L14" s="244"/>
      <c r="M14" s="244"/>
      <c r="N14" s="244"/>
      <c r="O14" s="244"/>
      <c r="P14" s="244"/>
      <c r="Q14" s="244"/>
      <c r="R14" s="244"/>
      <c r="S14" s="244"/>
      <c r="T14" s="244"/>
      <c r="U14" s="244"/>
      <c r="V14" s="244"/>
      <c r="W14" s="244"/>
    </row>
    <row r="15" spans="2:23" ht="14.25" customHeight="1" x14ac:dyDescent="0.15">
      <c r="B15" s="241" t="s">
        <v>11</v>
      </c>
      <c r="C15" s="241"/>
      <c r="D15" s="241"/>
      <c r="E15" s="241"/>
      <c r="F15" s="242" t="s">
        <v>12</v>
      </c>
      <c r="G15" s="242"/>
      <c r="H15" s="242"/>
      <c r="I15" s="242"/>
      <c r="J15" s="242"/>
      <c r="K15" s="242"/>
      <c r="L15" s="242"/>
      <c r="M15" s="242"/>
      <c r="N15" s="242"/>
      <c r="O15" s="242"/>
      <c r="P15" s="242"/>
      <c r="Q15" s="242"/>
      <c r="R15" s="242"/>
      <c r="S15" s="242"/>
      <c r="T15" s="242"/>
      <c r="U15" s="242"/>
      <c r="V15" s="242"/>
      <c r="W15" s="242"/>
    </row>
    <row r="16" spans="2:23" x14ac:dyDescent="0.15">
      <c r="B16" s="241"/>
      <c r="C16" s="241"/>
      <c r="D16" s="241"/>
      <c r="E16" s="241"/>
      <c r="F16" s="242"/>
      <c r="G16" s="242"/>
      <c r="H16" s="242"/>
      <c r="I16" s="242"/>
      <c r="J16" s="242"/>
      <c r="K16" s="242"/>
      <c r="L16" s="242"/>
      <c r="M16" s="242"/>
      <c r="N16" s="242"/>
      <c r="O16" s="242"/>
      <c r="P16" s="242"/>
      <c r="Q16" s="242"/>
      <c r="R16" s="242"/>
      <c r="S16" s="242"/>
      <c r="T16" s="242"/>
      <c r="U16" s="242"/>
      <c r="V16" s="242"/>
      <c r="W16" s="242"/>
    </row>
    <row r="17" spans="2:23" ht="154.5" customHeight="1" x14ac:dyDescent="0.15">
      <c r="B17" s="241"/>
      <c r="C17" s="241"/>
      <c r="D17" s="241"/>
      <c r="E17" s="241"/>
      <c r="F17" s="242"/>
      <c r="G17" s="242"/>
      <c r="H17" s="242"/>
      <c r="I17" s="242"/>
      <c r="J17" s="242"/>
      <c r="K17" s="242"/>
      <c r="L17" s="242"/>
      <c r="M17" s="242"/>
      <c r="N17" s="242"/>
      <c r="O17" s="242"/>
      <c r="P17" s="242"/>
      <c r="Q17" s="242"/>
      <c r="R17" s="242"/>
      <c r="S17" s="242"/>
      <c r="T17" s="242"/>
      <c r="U17" s="242"/>
      <c r="V17" s="242"/>
      <c r="W17" s="242"/>
    </row>
    <row r="18" spans="2:23" x14ac:dyDescent="0.15">
      <c r="B18" s="244"/>
      <c r="C18" s="244"/>
      <c r="D18" s="244"/>
      <c r="E18" s="244"/>
      <c r="F18" s="244"/>
      <c r="G18" s="244"/>
      <c r="H18" s="244"/>
      <c r="I18" s="244"/>
      <c r="J18" s="244"/>
      <c r="K18" s="244"/>
      <c r="L18" s="244"/>
      <c r="M18" s="244"/>
      <c r="N18" s="244"/>
      <c r="O18" s="244"/>
      <c r="P18" s="244"/>
      <c r="Q18" s="244"/>
      <c r="R18" s="244"/>
      <c r="S18" s="244"/>
      <c r="T18" s="244"/>
      <c r="U18" s="244"/>
      <c r="V18" s="244"/>
      <c r="W18" s="244"/>
    </row>
    <row r="19" spans="2:23" ht="14.25" customHeight="1" x14ac:dyDescent="0.15">
      <c r="B19" s="241" t="s">
        <v>13</v>
      </c>
      <c r="C19" s="241"/>
      <c r="D19" s="241"/>
      <c r="E19" s="241"/>
      <c r="F19" s="242" t="s">
        <v>14</v>
      </c>
      <c r="G19" s="242"/>
      <c r="H19" s="242"/>
      <c r="I19" s="242"/>
      <c r="J19" s="242"/>
      <c r="K19" s="242"/>
      <c r="L19" s="242"/>
      <c r="M19" s="242"/>
      <c r="N19" s="242"/>
      <c r="O19" s="242"/>
      <c r="P19" s="242"/>
      <c r="Q19" s="242"/>
      <c r="R19" s="242"/>
      <c r="S19" s="242"/>
      <c r="T19" s="242"/>
      <c r="U19" s="242"/>
      <c r="V19" s="242"/>
      <c r="W19" s="242"/>
    </row>
    <row r="20" spans="2:23" x14ac:dyDescent="0.15">
      <c r="B20" s="241"/>
      <c r="C20" s="241"/>
      <c r="D20" s="241"/>
      <c r="E20" s="241"/>
      <c r="F20" s="242"/>
      <c r="G20" s="242"/>
      <c r="H20" s="242"/>
      <c r="I20" s="242"/>
      <c r="J20" s="242"/>
      <c r="K20" s="242"/>
      <c r="L20" s="242"/>
      <c r="M20" s="242"/>
      <c r="N20" s="242"/>
      <c r="O20" s="242"/>
      <c r="P20" s="242"/>
      <c r="Q20" s="242"/>
      <c r="R20" s="242"/>
      <c r="S20" s="242"/>
      <c r="T20" s="242"/>
      <c r="U20" s="242"/>
      <c r="V20" s="242"/>
      <c r="W20" s="242"/>
    </row>
    <row r="21" spans="2:23" ht="34.5" customHeight="1" x14ac:dyDescent="0.15">
      <c r="B21" s="241"/>
      <c r="C21" s="241"/>
      <c r="D21" s="241"/>
      <c r="E21" s="241"/>
      <c r="F21" s="242"/>
      <c r="G21" s="242"/>
      <c r="H21" s="242"/>
      <c r="I21" s="242"/>
      <c r="J21" s="242"/>
      <c r="K21" s="242"/>
      <c r="L21" s="242"/>
      <c r="M21" s="242"/>
      <c r="N21" s="242"/>
      <c r="O21" s="242"/>
      <c r="P21" s="242"/>
      <c r="Q21" s="242"/>
      <c r="R21" s="242"/>
      <c r="S21" s="242"/>
      <c r="T21" s="242"/>
      <c r="U21" s="242"/>
      <c r="V21" s="242"/>
      <c r="W21" s="242"/>
    </row>
    <row r="22" spans="2:23" x14ac:dyDescent="0.15">
      <c r="B22" s="2"/>
      <c r="C22" s="3"/>
      <c r="D22" s="3"/>
      <c r="E22" s="3"/>
      <c r="F22" s="3"/>
      <c r="G22" s="3"/>
      <c r="H22" s="3"/>
      <c r="I22" s="3"/>
      <c r="J22" s="3"/>
      <c r="K22" s="3"/>
      <c r="L22" s="3"/>
      <c r="M22" s="4"/>
      <c r="N22" s="4"/>
      <c r="O22" s="4"/>
      <c r="P22" s="4"/>
      <c r="Q22" s="4"/>
      <c r="R22" s="4"/>
      <c r="S22" s="4"/>
      <c r="T22" s="4"/>
      <c r="U22" s="4"/>
      <c r="V22" s="4"/>
      <c r="W22" s="5"/>
    </row>
    <row r="23" spans="2:23" ht="30.5" customHeight="1" x14ac:dyDescent="0.15">
      <c r="B23" s="245" t="s">
        <v>15</v>
      </c>
      <c r="C23" s="245"/>
      <c r="D23" s="245"/>
      <c r="E23" s="245"/>
      <c r="F23" s="247" t="s">
        <v>16</v>
      </c>
      <c r="G23" s="247"/>
      <c r="H23" s="247"/>
      <c r="I23" s="247"/>
      <c r="J23" s="247"/>
      <c r="K23" s="247"/>
      <c r="L23" s="247"/>
      <c r="M23" s="247"/>
      <c r="N23" s="247"/>
      <c r="O23" s="247"/>
      <c r="P23" s="247"/>
      <c r="Q23" s="247"/>
      <c r="R23" s="247"/>
      <c r="S23" s="247"/>
      <c r="T23" s="247"/>
      <c r="U23" s="247"/>
      <c r="V23" s="247"/>
      <c r="W23" s="247"/>
    </row>
    <row r="24" spans="2:23" x14ac:dyDescent="0.15">
      <c r="B24" s="244"/>
      <c r="C24" s="244"/>
      <c r="D24" s="244"/>
      <c r="E24" s="244"/>
      <c r="F24" s="244"/>
      <c r="G24" s="244"/>
      <c r="H24" s="244"/>
      <c r="I24" s="244"/>
      <c r="J24" s="244"/>
      <c r="K24" s="244"/>
      <c r="L24" s="244"/>
      <c r="M24" s="244"/>
      <c r="N24" s="244"/>
      <c r="O24" s="244"/>
      <c r="P24" s="244"/>
      <c r="Q24" s="244"/>
      <c r="R24" s="244"/>
      <c r="S24" s="244"/>
      <c r="T24" s="244"/>
      <c r="U24" s="244"/>
      <c r="V24" s="244"/>
      <c r="W24" s="244"/>
    </row>
    <row r="25" spans="2:23" ht="57.5" customHeight="1" x14ac:dyDescent="0.15">
      <c r="B25" s="251" t="s">
        <v>17</v>
      </c>
      <c r="C25" s="251"/>
      <c r="D25" s="251"/>
      <c r="E25" s="251"/>
      <c r="F25" s="252" t="s">
        <v>18</v>
      </c>
      <c r="G25" s="252"/>
      <c r="H25" s="252"/>
      <c r="I25" s="252"/>
      <c r="J25" s="252"/>
      <c r="K25" s="252"/>
      <c r="L25" s="252"/>
      <c r="M25" s="252"/>
      <c r="N25" s="252"/>
      <c r="O25" s="252"/>
      <c r="P25" s="252"/>
      <c r="Q25" s="252"/>
      <c r="R25" s="252"/>
      <c r="S25" s="252"/>
      <c r="T25" s="252"/>
      <c r="U25" s="252"/>
      <c r="V25" s="252"/>
      <c r="W25" s="252"/>
    </row>
    <row r="26" spans="2:23" x14ac:dyDescent="0.15">
      <c r="B26" s="248"/>
      <c r="C26" s="248"/>
      <c r="D26" s="248"/>
      <c r="E26" s="248"/>
      <c r="F26" s="248"/>
      <c r="G26" s="248"/>
      <c r="H26" s="248"/>
      <c r="I26" s="248"/>
      <c r="J26" s="248"/>
      <c r="K26" s="248"/>
      <c r="L26" s="248"/>
      <c r="M26" s="248"/>
      <c r="N26" s="248"/>
      <c r="O26" s="248"/>
      <c r="P26" s="248"/>
      <c r="Q26" s="248"/>
      <c r="R26" s="248"/>
      <c r="S26" s="248"/>
      <c r="T26" s="248"/>
      <c r="U26" s="248"/>
      <c r="V26" s="248"/>
      <c r="W26" s="248"/>
    </row>
    <row r="27" spans="2:23" ht="14.25" customHeight="1" x14ac:dyDescent="0.15">
      <c r="B27" s="249" t="s">
        <v>19</v>
      </c>
      <c r="C27" s="249"/>
      <c r="D27" s="249"/>
      <c r="E27" s="249"/>
      <c r="F27" s="250" t="s">
        <v>20</v>
      </c>
      <c r="G27" s="250"/>
      <c r="H27" s="250"/>
      <c r="I27" s="250"/>
      <c r="J27" s="250"/>
      <c r="K27" s="250"/>
      <c r="L27" s="250"/>
      <c r="M27" s="250"/>
      <c r="N27" s="250"/>
      <c r="O27" s="250"/>
      <c r="P27" s="250"/>
      <c r="Q27" s="250"/>
      <c r="R27" s="250"/>
      <c r="S27" s="250"/>
      <c r="T27" s="250"/>
      <c r="U27" s="250"/>
      <c r="V27" s="250"/>
      <c r="W27" s="250"/>
    </row>
    <row r="28" spans="2:23" ht="31.25" customHeight="1" x14ac:dyDescent="0.15">
      <c r="B28" s="249"/>
      <c r="C28" s="249"/>
      <c r="D28" s="249"/>
      <c r="E28" s="249"/>
      <c r="F28" s="250"/>
      <c r="G28" s="250"/>
      <c r="H28" s="250"/>
      <c r="I28" s="250"/>
      <c r="J28" s="250"/>
      <c r="K28" s="250"/>
      <c r="L28" s="250"/>
      <c r="M28" s="250"/>
      <c r="N28" s="250"/>
      <c r="O28" s="250"/>
      <c r="P28" s="250"/>
      <c r="Q28" s="250"/>
      <c r="R28" s="250"/>
      <c r="S28" s="250"/>
      <c r="T28" s="250"/>
      <c r="U28" s="250"/>
      <c r="V28" s="250"/>
      <c r="W28" s="250"/>
    </row>
    <row r="29" spans="2:23" x14ac:dyDescent="0.15">
      <c r="B29" s="248"/>
      <c r="C29" s="248"/>
      <c r="D29" s="248"/>
      <c r="E29" s="248"/>
      <c r="F29" s="248"/>
      <c r="G29" s="248"/>
      <c r="H29" s="248"/>
      <c r="I29" s="248"/>
      <c r="J29" s="248"/>
      <c r="K29" s="248"/>
      <c r="L29" s="248"/>
      <c r="M29" s="248"/>
      <c r="N29" s="248"/>
      <c r="O29" s="248"/>
      <c r="P29" s="248"/>
      <c r="Q29" s="248"/>
      <c r="R29" s="248"/>
      <c r="S29" s="248"/>
      <c r="T29" s="248"/>
      <c r="U29" s="248"/>
      <c r="V29" s="248"/>
      <c r="W29" s="248"/>
    </row>
    <row r="30" spans="2:23" ht="26.25" customHeight="1" x14ac:dyDescent="0.15">
      <c r="B30" s="249" t="s">
        <v>21</v>
      </c>
      <c r="C30" s="249"/>
      <c r="D30" s="249"/>
      <c r="E30" s="249"/>
      <c r="F30" s="250" t="s">
        <v>22</v>
      </c>
      <c r="G30" s="250"/>
      <c r="H30" s="250"/>
      <c r="I30" s="250"/>
      <c r="J30" s="250"/>
      <c r="K30" s="250"/>
      <c r="L30" s="250"/>
      <c r="M30" s="250"/>
      <c r="N30" s="250"/>
      <c r="O30" s="250"/>
      <c r="P30" s="250"/>
      <c r="Q30" s="250"/>
      <c r="R30" s="250"/>
      <c r="S30" s="250"/>
      <c r="T30" s="250"/>
      <c r="U30" s="250"/>
      <c r="V30" s="250"/>
      <c r="W30" s="250"/>
    </row>
    <row r="31" spans="2:23" ht="31.25" customHeight="1" x14ac:dyDescent="0.15">
      <c r="B31" s="249"/>
      <c r="C31" s="249"/>
      <c r="D31" s="249"/>
      <c r="E31" s="249"/>
      <c r="F31" s="250"/>
      <c r="G31" s="250"/>
      <c r="H31" s="250"/>
      <c r="I31" s="250"/>
      <c r="J31" s="250"/>
      <c r="K31" s="250"/>
      <c r="L31" s="250"/>
      <c r="M31" s="250"/>
      <c r="N31" s="250"/>
      <c r="O31" s="250"/>
      <c r="P31" s="250"/>
      <c r="Q31" s="250"/>
      <c r="R31" s="250"/>
      <c r="S31" s="250"/>
      <c r="T31" s="250"/>
      <c r="U31" s="250"/>
      <c r="V31" s="250"/>
      <c r="W31" s="250"/>
    </row>
  </sheetData>
  <mergeCells count="29">
    <mergeCell ref="B29:W29"/>
    <mergeCell ref="B30:E31"/>
    <mergeCell ref="F30:W31"/>
    <mergeCell ref="B24:W24"/>
    <mergeCell ref="B25:E25"/>
    <mergeCell ref="F25:W25"/>
    <mergeCell ref="B26:W26"/>
    <mergeCell ref="B27:E28"/>
    <mergeCell ref="F27:W28"/>
    <mergeCell ref="B18:W18"/>
    <mergeCell ref="B19:E21"/>
    <mergeCell ref="F19:W21"/>
    <mergeCell ref="B23:E23"/>
    <mergeCell ref="F23:W23"/>
    <mergeCell ref="B12:E13"/>
    <mergeCell ref="F12:W13"/>
    <mergeCell ref="B14:W14"/>
    <mergeCell ref="B15:E17"/>
    <mergeCell ref="F15:W17"/>
    <mergeCell ref="B9:E9"/>
    <mergeCell ref="F9:W9"/>
    <mergeCell ref="B10:E10"/>
    <mergeCell ref="F10:W10"/>
    <mergeCell ref="B11:W11"/>
    <mergeCell ref="B1:W1"/>
    <mergeCell ref="B3:W4"/>
    <mergeCell ref="B5:W5"/>
    <mergeCell ref="B6:E8"/>
    <mergeCell ref="F6:W8"/>
  </mergeCells>
  <pageMargins left="0.31527777777777799" right="0.31527777777777799" top="0.74791666666666701" bottom="0.74791666666666701" header="0.511811023622047" footer="0.511811023622047"/>
  <pageSetup paperSize="9" fitToHeight="3"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pageSetUpPr fitToPage="1"/>
  </sheetPr>
  <dimension ref="A1:N26"/>
  <sheetViews>
    <sheetView showGridLines="0" zoomScale="90" zoomScaleNormal="90" workbookViewId="0">
      <selection activeCell="F20" sqref="F20"/>
    </sheetView>
  </sheetViews>
  <sheetFormatPr baseColWidth="10" defaultColWidth="11.6640625" defaultRowHeight="14" x14ac:dyDescent="0.15"/>
  <cols>
    <col min="1" max="1" width="27.6640625" style="18" customWidth="1"/>
    <col min="2" max="2" width="42.5" style="18" customWidth="1"/>
    <col min="3" max="3" width="9.5" style="18" customWidth="1"/>
    <col min="4" max="4" width="17.6640625" style="18" customWidth="1"/>
    <col min="5" max="5" width="13.5" style="18" customWidth="1"/>
    <col min="6" max="6" width="25.5" style="18" customWidth="1"/>
    <col min="7" max="7" width="17.33203125" style="18" customWidth="1"/>
    <col min="8" max="14" width="16.33203125" style="18" customWidth="1"/>
    <col min="15" max="16384" width="11.6640625" style="18"/>
  </cols>
  <sheetData>
    <row r="1" spans="1:14" ht="7.5" customHeight="1" x14ac:dyDescent="0.15"/>
    <row r="2" spans="1:14" ht="60" customHeight="1" x14ac:dyDescent="0.15">
      <c r="A2" s="263" t="s">
        <v>90</v>
      </c>
      <c r="B2" s="263"/>
      <c r="C2" s="263"/>
      <c r="D2" s="263"/>
      <c r="E2" s="263"/>
      <c r="F2" s="263"/>
      <c r="G2" s="263"/>
      <c r="H2" s="263"/>
      <c r="I2" s="263"/>
      <c r="J2" s="263"/>
      <c r="K2" s="263"/>
      <c r="L2" s="263"/>
      <c r="M2" s="263"/>
      <c r="N2" s="263"/>
    </row>
    <row r="3" spans="1:14" ht="20.25" customHeight="1" x14ac:dyDescent="0.15">
      <c r="A3" s="264" t="s">
        <v>16</v>
      </c>
      <c r="B3" s="264"/>
      <c r="C3" s="264"/>
      <c r="D3" s="264"/>
      <c r="E3" s="264"/>
      <c r="F3" s="264"/>
      <c r="G3" s="264"/>
      <c r="H3" s="264"/>
      <c r="I3" s="264"/>
      <c r="J3" s="264"/>
      <c r="K3" s="264"/>
      <c r="L3" s="264"/>
      <c r="M3" s="264"/>
      <c r="N3" s="264"/>
    </row>
    <row r="4" spans="1:14" x14ac:dyDescent="0.15">
      <c r="B4" s="92"/>
    </row>
    <row r="5" spans="1:14" ht="30" customHeight="1" x14ac:dyDescent="0.2">
      <c r="A5" s="93" t="s">
        <v>67</v>
      </c>
      <c r="B5" s="26" t="str">
        <f>projet</f>
        <v>PSI-BIOM</v>
      </c>
      <c r="C5" s="58"/>
      <c r="D5" s="268" t="s">
        <v>43</v>
      </c>
      <c r="E5" s="268"/>
      <c r="F5" s="267" t="str">
        <f>beneficiaire</f>
        <v>UNIVERSITE DE TOULON</v>
      </c>
      <c r="G5" s="267"/>
      <c r="H5" s="267"/>
      <c r="I5" s="58"/>
      <c r="J5" s="25" t="s">
        <v>44</v>
      </c>
      <c r="K5" s="269" t="str">
        <f>num_convention</f>
        <v xml:space="preserve"> 2182D0406-C</v>
      </c>
      <c r="L5" s="269"/>
      <c r="M5" s="269"/>
      <c r="N5" s="269"/>
    </row>
    <row r="6" spans="1:14" ht="19.5" customHeight="1" x14ac:dyDescent="0.15">
      <c r="A6" s="259" t="str">
        <f>"  Etat d'avancement de la période du "&amp;TEXT(date_debut,"jj/mm/aaaa")&amp;" au "&amp;TEXT(date_fin,"jj/mm/aaaa")</f>
        <v xml:space="preserve">  Etat d'avancement de la période du 20/12/2021 au 20/06/2025</v>
      </c>
      <c r="B6" s="259"/>
      <c r="C6" s="259"/>
      <c r="D6" s="259"/>
      <c r="E6" s="259"/>
      <c r="F6" s="259"/>
      <c r="G6" s="259"/>
      <c r="H6" s="259"/>
      <c r="I6" s="259"/>
      <c r="J6" s="259"/>
      <c r="K6" s="259"/>
      <c r="L6" s="259"/>
      <c r="M6" s="259"/>
      <c r="N6" s="259"/>
    </row>
    <row r="7" spans="1:14" ht="19.5" customHeight="1" x14ac:dyDescent="0.15">
      <c r="A7" s="259" t="str">
        <f>IF('Données initiales'!C15="Solde", 'Données initiales'!C15, +" Etape clé "&amp;num_etape)</f>
        <v>Solde</v>
      </c>
      <c r="B7" s="259"/>
      <c r="C7" s="259"/>
      <c r="D7" s="259"/>
      <c r="E7" s="259"/>
      <c r="F7" s="259"/>
      <c r="G7" s="259"/>
      <c r="H7" s="259"/>
      <c r="I7" s="259"/>
      <c r="J7" s="259"/>
      <c r="K7" s="259"/>
      <c r="L7" s="259"/>
      <c r="M7" s="259"/>
      <c r="N7" s="259"/>
    </row>
    <row r="8" spans="1:14" ht="19.5" customHeight="1" x14ac:dyDescent="0.15">
      <c r="A8" s="270" t="s">
        <v>21</v>
      </c>
      <c r="B8" s="270"/>
      <c r="C8" s="270"/>
      <c r="D8" s="270"/>
      <c r="E8" s="270"/>
      <c r="F8" s="270"/>
      <c r="G8" s="270"/>
      <c r="H8" s="270"/>
      <c r="I8" s="270"/>
      <c r="J8" s="270"/>
      <c r="K8" s="270"/>
      <c r="L8" s="270"/>
      <c r="M8" s="270"/>
      <c r="N8" s="270"/>
    </row>
    <row r="9" spans="1:14" ht="38.25" customHeight="1" x14ac:dyDescent="0.15">
      <c r="A9" s="59" t="s">
        <v>80</v>
      </c>
      <c r="B9" s="60" t="s">
        <v>81</v>
      </c>
      <c r="C9" s="61" t="s">
        <v>82</v>
      </c>
      <c r="D9" s="94" t="s">
        <v>83</v>
      </c>
      <c r="E9" s="95" t="s">
        <v>85</v>
      </c>
      <c r="F9" s="96" t="s">
        <v>116</v>
      </c>
      <c r="G9" s="97" t="s">
        <v>77</v>
      </c>
      <c r="H9" s="63" t="s">
        <v>47</v>
      </c>
      <c r="I9" s="60" t="s">
        <v>48</v>
      </c>
      <c r="J9" s="60" t="s">
        <v>49</v>
      </c>
      <c r="K9" s="61" t="s">
        <v>50</v>
      </c>
      <c r="L9" s="61" t="s">
        <v>51</v>
      </c>
      <c r="M9" s="61" t="s">
        <v>52</v>
      </c>
      <c r="N9" s="64" t="s">
        <v>53</v>
      </c>
    </row>
    <row r="10" spans="1:14" x14ac:dyDescent="0.15">
      <c r="A10" s="65"/>
      <c r="B10" s="98"/>
      <c r="C10" s="99"/>
      <c r="D10" s="100"/>
      <c r="E10" s="67"/>
      <c r="F10" s="99"/>
      <c r="G10" s="69"/>
      <c r="H10" s="70"/>
      <c r="I10" s="71"/>
      <c r="J10" s="71"/>
      <c r="K10" s="68"/>
      <c r="L10" s="68"/>
      <c r="M10" s="68"/>
      <c r="N10" s="72">
        <f>IF(OR(Tableau_AutresCoûts4[[#This Row],[RF]]&lt;&gt;"",Tableau_AutresCoûts4[[#This Row],[RI]]&lt;&gt;"",Tableau_AutresCoûts4[[#This Row],[DE]]&lt;&gt;"",Tableau_AutresCoûts4[[#This Row],[PE]]&lt;&gt;"",Tableau_AutresCoûts4[[#This Row],[RD]]&lt;&gt;""),Tableau_AutresCoûts4[[#This Row],[RF]]+Tableau_AutresCoûts4[[#This Row],[RI]]+Tableau_AutresCoûts4[[#This Row],[DE]]+Tableau_AutresCoûts4[[#This Row],[PE]]+Tableau_AutresCoûts4[[#This Row],[RD]],0)</f>
        <v>0</v>
      </c>
    </row>
    <row r="11" spans="1:14" ht="17.75" customHeight="1" x14ac:dyDescent="0.15">
      <c r="A11" s="65"/>
      <c r="B11" s="98"/>
      <c r="C11" s="66"/>
      <c r="D11" s="101"/>
      <c r="E11" s="103"/>
      <c r="F11" s="141"/>
      <c r="G11" s="69"/>
      <c r="H11" s="71"/>
      <c r="I11" s="71"/>
      <c r="J11" s="71"/>
      <c r="K11" s="71"/>
      <c r="L11" s="71"/>
      <c r="M11" s="71"/>
      <c r="N11" s="72">
        <f>IF(OR(Tableau_AutresCoûts4[[#This Row],[RF]]&lt;&gt;"",Tableau_AutresCoûts4[[#This Row],[RI]]&lt;&gt;"",Tableau_AutresCoûts4[[#This Row],[DE]]&lt;&gt;"",Tableau_AutresCoûts4[[#This Row],[PE]]&lt;&gt;"",Tableau_AutresCoûts4[[#This Row],[RD]]&lt;&gt;""),Tableau_AutresCoûts4[[#This Row],[RF]]+Tableau_AutresCoûts4[[#This Row],[RI]]+Tableau_AutresCoûts4[[#This Row],[DE]]+Tableau_AutresCoûts4[[#This Row],[PE]]+Tableau_AutresCoûts4[[#This Row],[RD]],0)</f>
        <v>0</v>
      </c>
    </row>
    <row r="12" spans="1:14" ht="17.75" customHeight="1" x14ac:dyDescent="0.15">
      <c r="A12" s="65"/>
      <c r="B12" s="179"/>
      <c r="C12" s="66"/>
      <c r="D12" s="101"/>
      <c r="E12" s="103"/>
      <c r="F12" s="141"/>
      <c r="G12" s="69"/>
      <c r="H12" s="71"/>
      <c r="I12" s="71"/>
      <c r="J12" s="71"/>
      <c r="K12" s="71"/>
      <c r="L12" s="71"/>
      <c r="M12" s="71"/>
      <c r="N12" s="72">
        <f>IF(OR(Tableau_AutresCoûts4[[#This Row],[RF]]&lt;&gt;"",Tableau_AutresCoûts4[[#This Row],[RI]]&lt;&gt;"",Tableau_AutresCoûts4[[#This Row],[DE]]&lt;&gt;"",Tableau_AutresCoûts4[[#This Row],[PE]]&lt;&gt;"",Tableau_AutresCoûts4[[#This Row],[RD]]&lt;&gt;""),Tableau_AutresCoûts4[[#This Row],[RF]]+Tableau_AutresCoûts4[[#This Row],[RI]]+Tableau_AutresCoûts4[[#This Row],[DE]]+Tableau_AutresCoûts4[[#This Row],[PE]]+Tableau_AutresCoûts4[[#This Row],[RD]],0)</f>
        <v>0</v>
      </c>
    </row>
    <row r="13" spans="1:14" ht="17.75" customHeight="1" x14ac:dyDescent="0.15">
      <c r="A13" s="65"/>
      <c r="B13" s="98"/>
      <c r="C13" s="66"/>
      <c r="D13" s="101"/>
      <c r="E13" s="103"/>
      <c r="F13" s="103"/>
      <c r="G13" s="126"/>
      <c r="H13" s="71"/>
      <c r="I13" s="71"/>
      <c r="J13" s="71"/>
      <c r="K13" s="71"/>
      <c r="L13" s="71"/>
      <c r="M13" s="71"/>
      <c r="N13" s="72">
        <f>IF(OR(Tableau_AutresCoûts4[[#This Row],[RF]]&lt;&gt;"",Tableau_AutresCoûts4[[#This Row],[RI]]&lt;&gt;"",Tableau_AutresCoûts4[[#This Row],[DE]]&lt;&gt;"",Tableau_AutresCoûts4[[#This Row],[PE]]&lt;&gt;"",Tableau_AutresCoûts4[[#This Row],[RD]]&lt;&gt;""),Tableau_AutresCoûts4[[#This Row],[RF]]+Tableau_AutresCoûts4[[#This Row],[RI]]+Tableau_AutresCoûts4[[#This Row],[DE]]+Tableau_AutresCoûts4[[#This Row],[PE]]+Tableau_AutresCoûts4[[#This Row],[RD]],0)</f>
        <v>0</v>
      </c>
    </row>
    <row r="14" spans="1:14" ht="17.75" customHeight="1" x14ac:dyDescent="0.15">
      <c r="A14" s="127"/>
      <c r="B14" s="136"/>
      <c r="C14" s="137"/>
      <c r="D14" s="142"/>
      <c r="E14" s="81"/>
      <c r="F14" s="137"/>
      <c r="G14" s="83"/>
      <c r="H14" s="75"/>
      <c r="I14" s="76"/>
      <c r="J14" s="76"/>
      <c r="K14" s="77"/>
      <c r="L14" s="77"/>
      <c r="M14" s="77"/>
      <c r="N14" s="78">
        <f>IF(OR(Tableau_AutresCoûts4[[#This Row],[RF]]&lt;&gt;"",Tableau_AutresCoûts4[[#This Row],[RI]]&lt;&gt;"",Tableau_AutresCoûts4[[#This Row],[DE]]&lt;&gt;"",Tableau_AutresCoûts4[[#This Row],[PE]]&lt;&gt;"",Tableau_AutresCoûts4[[#This Row],[RD]]&lt;&gt;""),Tableau_AutresCoûts4[[#This Row],[RF]]+Tableau_AutresCoûts4[[#This Row],[RI]]+Tableau_AutresCoûts4[[#This Row],[DE]]+Tableau_AutresCoûts4[[#This Row],[PE]]+Tableau_AutresCoûts4[[#This Row],[RD]],0)</f>
        <v>0</v>
      </c>
    </row>
    <row r="15" spans="1:14" ht="23.25" customHeight="1" x14ac:dyDescent="0.15">
      <c r="A15" s="143" t="s">
        <v>103</v>
      </c>
      <c r="B15" s="144"/>
      <c r="C15" s="144"/>
      <c r="D15" s="144"/>
      <c r="E15" s="144"/>
      <c r="F15" s="145"/>
      <c r="G15" s="146">
        <f>SUBTOTAL(109,Tableau_AutresCoûts4[Montant total de l''opération en €])</f>
        <v>0</v>
      </c>
      <c r="H15" s="138">
        <f>SUBTOTAL(109,Tableau_AutresCoûts4[Non éligible])</f>
        <v>0</v>
      </c>
      <c r="I15" s="139">
        <f>SUBTOTAL(109,Tableau_AutresCoûts4[RF])</f>
        <v>0</v>
      </c>
      <c r="J15" s="139">
        <f>SUBTOTAL(109,Tableau_AutresCoûts4[RI])</f>
        <v>0</v>
      </c>
      <c r="K15" s="139">
        <f>SUBTOTAL(109,Tableau_AutresCoûts4[RI])</f>
        <v>0</v>
      </c>
      <c r="L15" s="139">
        <f>SUBTOTAL(109,Tableau_AutresCoûts4[RI])</f>
        <v>0</v>
      </c>
      <c r="M15" s="139">
        <f>SUBTOTAL(109,Tableau_AutresCoûts4[RI])</f>
        <v>0</v>
      </c>
      <c r="N15" s="90">
        <f>N10+N11+N12+N13+N14</f>
        <v>0</v>
      </c>
    </row>
    <row r="16" spans="1:14" ht="13.5" customHeight="1" x14ac:dyDescent="0.15">
      <c r="A16" s="20"/>
      <c r="N16" s="21"/>
    </row>
    <row r="17" spans="1:14" ht="34.5" customHeight="1" x14ac:dyDescent="0.15">
      <c r="A17" s="262" t="s">
        <v>120</v>
      </c>
      <c r="B17" s="262"/>
      <c r="C17" s="262"/>
      <c r="D17" s="262"/>
      <c r="E17" s="262"/>
      <c r="F17" s="262"/>
      <c r="G17" s="262"/>
      <c r="H17" s="262"/>
      <c r="I17" s="262"/>
      <c r="J17" s="262"/>
      <c r="K17" s="262"/>
      <c r="L17" s="262"/>
      <c r="M17" s="262"/>
      <c r="N17" s="262"/>
    </row>
    <row r="18" spans="1:14" x14ac:dyDescent="0.15">
      <c r="A18" s="20"/>
      <c r="N18" s="21"/>
    </row>
    <row r="19" spans="1:14" ht="16" x14ac:dyDescent="0.2">
      <c r="A19" s="20"/>
      <c r="I19" s="46" t="s">
        <v>60</v>
      </c>
      <c r="J19" s="48">
        <f>+'Données initiales'!C7</f>
        <v>198307662</v>
      </c>
      <c r="N19" s="21"/>
    </row>
    <row r="20" spans="1:14" ht="16" x14ac:dyDescent="0.2">
      <c r="A20" s="20"/>
      <c r="I20" s="46" t="s">
        <v>61</v>
      </c>
      <c r="J20" s="50">
        <f>'Synthèse ERD'!G23</f>
        <v>45845</v>
      </c>
      <c r="N20" s="21"/>
    </row>
    <row r="21" spans="1:14" ht="16" x14ac:dyDescent="0.2">
      <c r="A21" s="20"/>
      <c r="I21" s="46" t="s">
        <v>62</v>
      </c>
      <c r="J21" s="52"/>
      <c r="N21" s="21"/>
    </row>
    <row r="22" spans="1:14" ht="17" x14ac:dyDescent="0.2">
      <c r="A22" s="20"/>
      <c r="J22" s="91"/>
      <c r="K22" s="91"/>
      <c r="L22" s="91"/>
      <c r="M22" s="91"/>
      <c r="N22" s="21"/>
    </row>
    <row r="23" spans="1:14" x14ac:dyDescent="0.15">
      <c r="A23" s="20"/>
      <c r="N23" s="21"/>
    </row>
    <row r="24" spans="1:14" x14ac:dyDescent="0.15">
      <c r="A24" s="20"/>
      <c r="N24" s="21"/>
    </row>
    <row r="25" spans="1:14" x14ac:dyDescent="0.15">
      <c r="A25" s="20" t="s">
        <v>88</v>
      </c>
      <c r="N25" s="21"/>
    </row>
    <row r="26" spans="1:14" x14ac:dyDescent="0.15">
      <c r="A26" s="53" t="s">
        <v>89</v>
      </c>
      <c r="B26" s="54"/>
      <c r="C26" s="54"/>
      <c r="D26" s="54"/>
      <c r="E26" s="54"/>
      <c r="F26" s="54"/>
      <c r="G26" s="54"/>
      <c r="H26" s="54"/>
      <c r="I26" s="54"/>
      <c r="J26" s="54"/>
      <c r="K26" s="54"/>
      <c r="L26" s="54"/>
      <c r="M26" s="54"/>
      <c r="N26" s="55"/>
    </row>
  </sheetData>
  <mergeCells count="9">
    <mergeCell ref="A6:N6"/>
    <mergeCell ref="A7:N7"/>
    <mergeCell ref="A8:N8"/>
    <mergeCell ref="A17:N17"/>
    <mergeCell ref="A2:N2"/>
    <mergeCell ref="A3:N3"/>
    <mergeCell ref="D5:E5"/>
    <mergeCell ref="F5:H5"/>
    <mergeCell ref="K5:N5"/>
  </mergeCells>
  <conditionalFormatting sqref="G10:G14">
    <cfRule type="expression" dxfId="0" priority="2">
      <formula>AND(G10&lt;&gt;"",G10&lt;&gt;(H10+N10))</formula>
    </cfRule>
  </conditionalFormatting>
  <dataValidations count="5">
    <dataValidation allowBlank="1" showInputMessage="1" showErrorMessage="1" prompt="Merci de reprendre les tâches ou lots décrits dans l'annexe financière" sqref="C10:C14" xr:uid="{00000000-0002-0000-0900-000000000000}">
      <formula1>0</formula1>
      <formula2>0</formula2>
    </dataValidation>
    <dataValidation allowBlank="1" showInputMessage="1" showErrorMessage="1" promptTitle="TVA" prompt="Si non assujetti à la TVA alors le montant à inscrire est TTC _x000a_Si assujetti à la TVA alors le montant à inscrire est Hors Taxe (HT)" sqref="G10:G14" xr:uid="{00000000-0002-0000-0900-000001000000}">
      <formula1>0</formula1>
      <formula2>0</formula2>
    </dataValidation>
    <dataValidation type="list" allowBlank="1" showInputMessage="1" showErrorMessage="1" prompt="Afin d'être éligible, la dépense doit obligatoirement être acquitée" sqref="F10:F14" xr:uid="{00000000-0002-0000-0900-000002000000}">
      <formula1>"Oui,Non"</formula1>
      <formula2>0</formula2>
    </dataValidation>
    <dataValidation type="date" allowBlank="1" showInputMessage="1" showErrorMessage="1" errorTitle="Période de référence" error="Format : jj/mm/aaaa_x000a__x000a_La date doit être entre à la date de début et de fin de la période de référence. " promptTitle="Format" prompt="Merci de saisir une date au format jj/mm/aaaa dans la période de référence" sqref="E10:E14" xr:uid="{00000000-0002-0000-0900-000003000000}">
      <formula1>date_debut</formula1>
      <formula2>date_fin</formula2>
    </dataValidation>
    <dataValidation allowBlank="1" showInputMessage="1" showErrorMessage="1" prompt="Merci de reprendre les tâches ou lots notifiés dans l'annexe financière" sqref="B12" xr:uid="{00000000-0002-0000-0900-000004000000}">
      <formula1>0</formula1>
      <formula2>0</formula2>
    </dataValidation>
  </dataValidations>
  <pageMargins left="0.31527777777777799" right="0.31527777777777799" top="0.55138888888888904" bottom="0.55138888888888904" header="0.31527777777777799" footer="0.31527777777777799"/>
  <pageSetup paperSize="9" scale="53" orientation="landscape" verticalDpi="300" r:id="rId1"/>
  <headerFooter>
    <oddHeader>&amp;R&amp;22 7- Dépenses d'équipement / investissement</oddHeader>
    <oddFooter>&amp;R&amp;22&amp;P/&amp;N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2:C21"/>
  <sheetViews>
    <sheetView showGridLines="0" showRowColHeaders="0" zoomScaleNormal="100" workbookViewId="0">
      <selection activeCell="B21" sqref="B21:C21"/>
    </sheetView>
  </sheetViews>
  <sheetFormatPr baseColWidth="10" defaultColWidth="10.6640625" defaultRowHeight="13" x14ac:dyDescent="0.2"/>
  <cols>
    <col min="1" max="1" width="3.33203125" style="6" customWidth="1"/>
    <col min="2" max="2" width="29.6640625" style="6" customWidth="1"/>
    <col min="3" max="3" width="57.33203125" style="6" customWidth="1"/>
    <col min="4" max="4" width="3.33203125" style="6" customWidth="1"/>
    <col min="5" max="16384" width="10.6640625" style="6"/>
  </cols>
  <sheetData>
    <row r="2" spans="2:3" ht="20.75" customHeight="1" x14ac:dyDescent="0.2">
      <c r="B2" s="253" t="s">
        <v>23</v>
      </c>
      <c r="C2" s="253"/>
    </row>
    <row r="4" spans="2:3" ht="14.75" customHeight="1" x14ac:dyDescent="0.2">
      <c r="B4" s="7" t="s">
        <v>24</v>
      </c>
      <c r="C4" s="8" t="s">
        <v>25</v>
      </c>
    </row>
    <row r="5" spans="2:3" ht="14.75" customHeight="1" x14ac:dyDescent="0.2">
      <c r="B5" s="7" t="s">
        <v>26</v>
      </c>
      <c r="C5" s="9" t="s">
        <v>133</v>
      </c>
    </row>
    <row r="6" spans="2:3" ht="14.75" customHeight="1" x14ac:dyDescent="0.2">
      <c r="B6" s="7" t="s">
        <v>27</v>
      </c>
      <c r="C6" s="10" t="s">
        <v>117</v>
      </c>
    </row>
    <row r="7" spans="2:3" ht="14.75" customHeight="1" x14ac:dyDescent="0.2">
      <c r="B7" s="7" t="s">
        <v>28</v>
      </c>
      <c r="C7" s="178">
        <v>198307662</v>
      </c>
    </row>
    <row r="8" spans="2:3" ht="14.75" customHeight="1" x14ac:dyDescent="0.2">
      <c r="B8" s="7" t="s">
        <v>29</v>
      </c>
      <c r="C8" s="11" t="s">
        <v>118</v>
      </c>
    </row>
    <row r="9" spans="2:3" ht="14.75" customHeight="1" x14ac:dyDescent="0.2">
      <c r="B9" s="7" t="s">
        <v>30</v>
      </c>
      <c r="C9" s="12" t="s">
        <v>119</v>
      </c>
    </row>
    <row r="10" spans="2:3" ht="14.75" customHeight="1" x14ac:dyDescent="0.2">
      <c r="B10" s="7"/>
      <c r="C10" s="13"/>
    </row>
    <row r="11" spans="2:3" ht="14.75" customHeight="1" x14ac:dyDescent="0.2">
      <c r="B11" s="7" t="s">
        <v>31</v>
      </c>
      <c r="C11" s="216" t="s">
        <v>131</v>
      </c>
    </row>
    <row r="12" spans="2:3" ht="14.75" customHeight="1" x14ac:dyDescent="0.2">
      <c r="B12" s="7" t="s">
        <v>32</v>
      </c>
      <c r="C12" s="11" t="s">
        <v>132</v>
      </c>
    </row>
    <row r="13" spans="2:3" ht="14.75" customHeight="1" x14ac:dyDescent="0.2">
      <c r="B13" s="7" t="s">
        <v>33</v>
      </c>
      <c r="C13" s="14" t="s">
        <v>177</v>
      </c>
    </row>
    <row r="14" spans="2:3" ht="14.75" customHeight="1" x14ac:dyDescent="0.2">
      <c r="B14" s="7"/>
      <c r="C14" s="13"/>
    </row>
    <row r="15" spans="2:3" ht="14.75" customHeight="1" x14ac:dyDescent="0.2">
      <c r="B15" s="7" t="s">
        <v>34</v>
      </c>
      <c r="C15" s="15" t="s">
        <v>178</v>
      </c>
    </row>
    <row r="16" spans="2:3" ht="14.75" customHeight="1" x14ac:dyDescent="0.2">
      <c r="B16" s="7"/>
      <c r="C16" s="7"/>
    </row>
    <row r="17" spans="2:3" ht="14.75" customHeight="1" x14ac:dyDescent="0.2">
      <c r="B17" s="7" t="s">
        <v>35</v>
      </c>
      <c r="C17" s="13"/>
    </row>
    <row r="18" spans="2:3" ht="14.75" customHeight="1" x14ac:dyDescent="0.2">
      <c r="B18" s="7" t="s">
        <v>36</v>
      </c>
      <c r="C18" s="16">
        <v>44550</v>
      </c>
    </row>
    <row r="19" spans="2:3" ht="14.75" customHeight="1" x14ac:dyDescent="0.2">
      <c r="B19" s="7" t="s">
        <v>37</v>
      </c>
      <c r="C19" s="17">
        <v>45828</v>
      </c>
    </row>
    <row r="20" spans="2:3" ht="46.5" customHeight="1" x14ac:dyDescent="0.2">
      <c r="B20" s="13"/>
    </row>
    <row r="21" spans="2:3" ht="14.75" customHeight="1" x14ac:dyDescent="0.2">
      <c r="B21" s="254" t="s">
        <v>38</v>
      </c>
      <c r="C21" s="254"/>
    </row>
  </sheetData>
  <mergeCells count="2">
    <mergeCell ref="B2:C2"/>
    <mergeCell ref="B21:C21"/>
  </mergeCells>
  <conditionalFormatting sqref="C18:C19">
    <cfRule type="expression" dxfId="15" priority="2">
      <formula>$B$20&lt;&gt;""</formula>
    </cfRule>
  </conditionalFormatting>
  <dataValidations count="6">
    <dataValidation allowBlank="1" showInputMessage="1" showErrorMessage="1" prompt="Merci de saisir le Nom en Majuscule" sqref="C11" xr:uid="{00000000-0002-0000-0100-000000000000}">
      <formula1>0</formula1>
      <formula2>0</formula2>
    </dataValidation>
    <dataValidation type="date" allowBlank="1" showInputMessage="1" showErrorMessage="1" promptTitle="Format de saisie" prompt="Merci de saisir une date au format : JJ/MM/AAAA" sqref="C18:C19" xr:uid="{00000000-0002-0000-0100-000001000000}">
      <formula1>36526</formula1>
      <formula2>51136</formula2>
    </dataValidation>
    <dataValidation type="list" allowBlank="1" showInputMessage="1" showErrorMessage="1" promptTitle="INFORMATION" prompt="Se reporter à l'annexe financière de votre convention " sqref="C9" xr:uid="{00000000-0002-0000-0100-000002000000}">
      <formula1>"A - 61% des dépenses de personnel + 7%,B - 20% des dépenses de personnel interne,C - 4% des dépenses d'équiment + 8% des autres dépenses éligibles,D - Sans dépenses connexes"</formula1>
      <formula2>0</formula2>
    </dataValidation>
    <dataValidation type="list" allowBlank="1" showInputMessage="1" showErrorMessage="1" sqref="C10" xr:uid="{00000000-0002-0000-0100-000003000000}">
      <formula1>typeEtab</formula1>
      <formula2>0</formula2>
    </dataValidation>
    <dataValidation type="list" allowBlank="1" showInputMessage="1" showErrorMessage="1" sqref="C15" xr:uid="{00000000-0002-0000-0100-000004000000}">
      <formula1>"Solde,1,2,3,4,5,6,7,8,9,10,11,12,13,14,15"</formula1>
      <formula2>0</formula2>
    </dataValidation>
    <dataValidation type="list" allowBlank="1" showInputMessage="1" showErrorMessage="1" sqref="C8" xr:uid="{00000000-0002-0000-0100-000005000000}">
      <formula1>"Privé,Public"</formula1>
      <formula2>0</formula2>
    </dataValidation>
  </dataValidations>
  <pageMargins left="0.7" right="0.7" top="0.75" bottom="0.75" header="0.511811023622047" footer="0.511811023622047"/>
  <pageSetup paperSize="9"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B2:L28"/>
  <sheetViews>
    <sheetView showGridLines="0" topLeftCell="A4" zoomScale="67" zoomScaleNormal="67" workbookViewId="0">
      <selection activeCell="J19" sqref="J19"/>
    </sheetView>
  </sheetViews>
  <sheetFormatPr baseColWidth="10" defaultColWidth="10.6640625" defaultRowHeight="14" x14ac:dyDescent="0.15"/>
  <cols>
    <col min="1" max="1" width="29.33203125" style="18" customWidth="1"/>
    <col min="2" max="2" width="43.5" style="18" customWidth="1"/>
    <col min="3" max="3" width="30.5" style="18" customWidth="1"/>
    <col min="4" max="4" width="23.6640625" style="18" customWidth="1"/>
    <col min="5" max="5" width="21" style="18" customWidth="1"/>
    <col min="6" max="6" width="19.5" style="18" customWidth="1"/>
    <col min="7" max="7" width="20.5" style="18" customWidth="1"/>
    <col min="8" max="8" width="19.33203125" style="18" customWidth="1"/>
    <col min="9" max="9" width="19.83203125" style="18" customWidth="1"/>
    <col min="10" max="10" width="23.6640625" style="18" customWidth="1"/>
    <col min="11" max="16384" width="10.6640625" style="18"/>
  </cols>
  <sheetData>
    <row r="2" spans="2:12" ht="36" customHeight="1" x14ac:dyDescent="0.15">
      <c r="B2" s="256" t="s">
        <v>39</v>
      </c>
      <c r="C2" s="256"/>
      <c r="D2" s="256"/>
      <c r="E2" s="256"/>
      <c r="F2" s="256"/>
      <c r="G2" s="256"/>
      <c r="H2" s="256"/>
      <c r="I2" s="256"/>
      <c r="J2" s="256"/>
    </row>
    <row r="3" spans="2:12" ht="26.25" customHeight="1" x14ac:dyDescent="0.15">
      <c r="B3" s="257" t="s">
        <v>40</v>
      </c>
      <c r="C3" s="257"/>
      <c r="D3" s="257"/>
      <c r="E3" s="257"/>
      <c r="F3" s="257"/>
      <c r="G3" s="257"/>
      <c r="H3" s="257"/>
      <c r="I3" s="257"/>
      <c r="J3" s="257"/>
    </row>
    <row r="4" spans="2:12" ht="49.5" customHeight="1" x14ac:dyDescent="0.2">
      <c r="B4" s="258" t="s">
        <v>41</v>
      </c>
      <c r="C4" s="258"/>
      <c r="D4" s="258"/>
      <c r="E4" s="258"/>
      <c r="F4" s="258"/>
      <c r="G4" s="258"/>
      <c r="H4" s="258"/>
      <c r="I4" s="258"/>
      <c r="J4" s="258"/>
      <c r="K4" s="19"/>
      <c r="L4" s="19"/>
    </row>
    <row r="5" spans="2:12" ht="14.75" customHeight="1" x14ac:dyDescent="0.15">
      <c r="B5" s="20"/>
      <c r="J5" s="21"/>
    </row>
    <row r="6" spans="2:12" s="22" customFormat="1" ht="30" customHeight="1" x14ac:dyDescent="0.2">
      <c r="B6" s="23" t="s">
        <v>42</v>
      </c>
      <c r="C6" s="24" t="str">
        <f>+projet</f>
        <v>PSI-BIOM</v>
      </c>
      <c r="D6" s="25" t="s">
        <v>43</v>
      </c>
      <c r="E6" s="24" t="str">
        <f>beneficiaire</f>
        <v>UNIVERSITE DE TOULON</v>
      </c>
      <c r="F6" s="26"/>
      <c r="G6" s="25" t="s">
        <v>44</v>
      </c>
      <c r="H6" s="25"/>
      <c r="I6" s="25"/>
      <c r="J6" s="27" t="str">
        <f>num_convention</f>
        <v xml:space="preserve"> 2182D0406-C</v>
      </c>
    </row>
    <row r="7" spans="2:12" ht="24" customHeight="1" x14ac:dyDescent="0.15">
      <c r="B7" s="259" t="str">
        <f>"  Etat d'avancement de la période du "&amp;TEXT(date_debut,"jj/mm/aaaa")&amp;" au "&amp;TEXT(date_fin,"jj/mm/aaaa")</f>
        <v xml:space="preserve">  Etat d'avancement de la période du 20/12/2021 au 20/06/2025</v>
      </c>
      <c r="C7" s="259"/>
      <c r="D7" s="259"/>
      <c r="E7" s="259"/>
      <c r="F7" s="259"/>
      <c r="G7" s="259"/>
      <c r="H7" s="259"/>
      <c r="I7" s="259"/>
      <c r="J7" s="259"/>
    </row>
    <row r="8" spans="2:12" ht="24" customHeight="1" x14ac:dyDescent="0.15">
      <c r="B8" s="260" t="str">
        <f>IF('Données initiales'!C15="Solde", 'Données initiales'!C15, +" Etape clé "&amp;num_etape)</f>
        <v>Solde</v>
      </c>
      <c r="C8" s="260"/>
      <c r="D8" s="260"/>
      <c r="E8" s="260"/>
      <c r="F8" s="260"/>
      <c r="G8" s="260"/>
      <c r="H8" s="260"/>
      <c r="I8" s="260"/>
      <c r="J8" s="260"/>
    </row>
    <row r="9" spans="2:12" ht="39.75" customHeight="1" x14ac:dyDescent="0.15">
      <c r="B9" s="28" t="s">
        <v>45</v>
      </c>
      <c r="C9" s="29" t="s">
        <v>46</v>
      </c>
      <c r="D9" s="30" t="s">
        <v>47</v>
      </c>
      <c r="E9" s="31" t="s">
        <v>48</v>
      </c>
      <c r="F9" s="31" t="s">
        <v>49</v>
      </c>
      <c r="G9" s="31" t="s">
        <v>50</v>
      </c>
      <c r="H9" s="31" t="s">
        <v>51</v>
      </c>
      <c r="I9" s="32" t="s">
        <v>52</v>
      </c>
      <c r="J9" s="33" t="s">
        <v>181</v>
      </c>
    </row>
    <row r="10" spans="2:12" ht="33" customHeight="1" x14ac:dyDescent="0.15">
      <c r="B10" s="34" t="s">
        <v>54</v>
      </c>
      <c r="C10" s="35">
        <f>'1- Salaires'!J44</f>
        <v>242803.97999999995</v>
      </c>
      <c r="D10" s="36">
        <f>'1- Salaires'!K12</f>
        <v>0</v>
      </c>
      <c r="E10" s="37">
        <f>'1- Salaires'!L12</f>
        <v>0</v>
      </c>
      <c r="F10" s="37">
        <f>'1- Salaires'!J44</f>
        <v>242803.97999999995</v>
      </c>
      <c r="G10" s="37">
        <f>'1- Salaires'!N12</f>
        <v>0</v>
      </c>
      <c r="H10" s="37">
        <f>'1- Salaires'!O12</f>
        <v>0</v>
      </c>
      <c r="I10" s="37">
        <f>'1- Salaires'!P12</f>
        <v>0</v>
      </c>
      <c r="J10" s="38">
        <f>'1- Salaires'!Q44</f>
        <v>242803.97999999995</v>
      </c>
    </row>
    <row r="11" spans="2:12" ht="33" customHeight="1" x14ac:dyDescent="0.15">
      <c r="B11" s="34" t="s">
        <v>55</v>
      </c>
      <c r="C11" s="35">
        <f>'2- Sous-traitance'!H16</f>
        <v>0</v>
      </c>
      <c r="D11" s="36">
        <f>'2- Sous-traitance'!I16</f>
        <v>0</v>
      </c>
      <c r="E11" s="37">
        <f>'2- Sous-traitance'!J16</f>
        <v>0</v>
      </c>
      <c r="F11" s="37">
        <f>'2- Sous-traitance'!K16</f>
        <v>0</v>
      </c>
      <c r="G11" s="37">
        <f>'2- Sous-traitance'!L16</f>
        <v>0</v>
      </c>
      <c r="H11" s="37">
        <f>'2- Sous-traitance'!M16</f>
        <v>0</v>
      </c>
      <c r="I11" s="37">
        <f>'2- Sous-traitance'!N16</f>
        <v>0</v>
      </c>
      <c r="J11" s="38">
        <f>'1- Salaires'!Q45</f>
        <v>0</v>
      </c>
    </row>
    <row r="12" spans="2:12" ht="33" customHeight="1" x14ac:dyDescent="0.15">
      <c r="B12" s="34" t="s">
        <v>56</v>
      </c>
      <c r="C12" s="35">
        <f>'3- Refacturation interne'!I16</f>
        <v>0</v>
      </c>
      <c r="D12" s="36">
        <f>'3- Refacturation interne'!J16</f>
        <v>0</v>
      </c>
      <c r="E12" s="37">
        <f>'3- Refacturation interne'!K16</f>
        <v>0</v>
      </c>
      <c r="F12" s="37">
        <f>'3- Refacturation interne'!L16</f>
        <v>0</v>
      </c>
      <c r="G12" s="37">
        <f>'3- Refacturation interne'!M16</f>
        <v>0</v>
      </c>
      <c r="H12" s="37">
        <f>'3- Refacturation interne'!N16</f>
        <v>0</v>
      </c>
      <c r="I12" s="37">
        <f>'3- Refacturation interne'!O16</f>
        <v>0</v>
      </c>
      <c r="J12" s="38">
        <f>'1- Salaires'!Q46</f>
        <v>0</v>
      </c>
    </row>
    <row r="13" spans="2:12" ht="33" customHeight="1" x14ac:dyDescent="0.15">
      <c r="B13" s="34" t="s">
        <v>57</v>
      </c>
      <c r="C13" s="35">
        <f>'4- Frais de missions'!H15</f>
        <v>22.5</v>
      </c>
      <c r="D13" s="36">
        <f>'4- Frais de missions'!I15</f>
        <v>0</v>
      </c>
      <c r="E13" s="36">
        <f>'4- Frais de missions'!J15</f>
        <v>0</v>
      </c>
      <c r="F13" s="36">
        <f>'4- Frais de missions'!K15</f>
        <v>22.5</v>
      </c>
      <c r="G13" s="36">
        <f>'4- Frais de missions'!L15</f>
        <v>0</v>
      </c>
      <c r="H13" s="37">
        <f>'4- Frais de missions'!M15</f>
        <v>0</v>
      </c>
      <c r="I13" s="37">
        <f>'4- Frais de missions'!N15</f>
        <v>0</v>
      </c>
      <c r="J13" s="38">
        <f>Tableau_ERD[[#This Row],[RI]]</f>
        <v>22.5</v>
      </c>
    </row>
    <row r="14" spans="2:12" ht="33" customHeight="1" x14ac:dyDescent="0.15">
      <c r="B14" s="34" t="s">
        <v>15</v>
      </c>
      <c r="C14" s="35">
        <f>'5- Autres coûts'!G22</f>
        <v>4721.420000000001</v>
      </c>
      <c r="D14" s="36">
        <f>'5- Autres coûts'!H22</f>
        <v>0</v>
      </c>
      <c r="E14" s="37">
        <f>'5- Autres coûts'!I22</f>
        <v>0</v>
      </c>
      <c r="F14" s="37">
        <f>'5- Autres coûts'!J22</f>
        <v>4721.420000000001</v>
      </c>
      <c r="G14" s="37">
        <f>'5- Autres coûts'!K22</f>
        <v>0</v>
      </c>
      <c r="H14" s="37">
        <f>'5- Autres coûts'!L22</f>
        <v>0</v>
      </c>
      <c r="I14" s="37">
        <f>'5- Autres coûts'!M22</f>
        <v>0</v>
      </c>
      <c r="J14" s="38">
        <f>'5- Autres coûts'!N22</f>
        <v>4721.420000000001</v>
      </c>
    </row>
    <row r="15" spans="2:12" ht="33" customHeight="1" x14ac:dyDescent="0.15">
      <c r="B15" s="34" t="s">
        <v>17</v>
      </c>
      <c r="C15" s="35">
        <f>'6- Amortissements'!M14</f>
        <v>2957.835</v>
      </c>
      <c r="D15" s="36">
        <f>'6- Amortissements'!N14</f>
        <v>0</v>
      </c>
      <c r="E15" s="37">
        <f>'6- Amortissements'!O14</f>
        <v>0</v>
      </c>
      <c r="F15" s="37">
        <f>'6- Amortissements'!P14</f>
        <v>0</v>
      </c>
      <c r="G15" s="37">
        <f>'6- Amortissements'!Q14</f>
        <v>2957.84</v>
      </c>
      <c r="H15" s="37">
        <f>'6- Amortissements'!R14</f>
        <v>0</v>
      </c>
      <c r="I15" s="37">
        <f>'6- Amortissements'!S14</f>
        <v>0</v>
      </c>
      <c r="J15" s="38">
        <f>Tableau_ERD[[#This Row],[DE]]</f>
        <v>2957.84</v>
      </c>
    </row>
    <row r="16" spans="2:12" ht="33" customHeight="1" x14ac:dyDescent="0.15">
      <c r="B16" s="34" t="s">
        <v>21</v>
      </c>
      <c r="C16" s="35">
        <v>0</v>
      </c>
      <c r="D16" s="36">
        <v>0</v>
      </c>
      <c r="E16" s="37">
        <v>0</v>
      </c>
      <c r="F16" s="37">
        <v>0</v>
      </c>
      <c r="G16" s="37">
        <v>0</v>
      </c>
      <c r="H16" s="37">
        <f>'7- Dépenses d''équipement'!L15</f>
        <v>0</v>
      </c>
      <c r="I16" s="37">
        <f>'7- Dépenses d''équipement'!M15</f>
        <v>0</v>
      </c>
      <c r="J16" s="38">
        <f>'7- Dépenses d''équipement'!N15</f>
        <v>0</v>
      </c>
    </row>
    <row r="17" spans="2:10" ht="33" customHeight="1" x14ac:dyDescent="0.15">
      <c r="B17" s="34" t="s">
        <v>58</v>
      </c>
      <c r="C17" s="35">
        <f>IF(MID(forfait,1,3)="A -",(C10*0.61)+(SUM(C10:C15)*0.07),IF(MID(forfait,1,3)="B -",C10*0.2,IF(MID(forfait,1,3)="C -",(C15*0.04)+(SUM(C10:C14)*0.08),0)))</f>
        <v>19922.145399999998</v>
      </c>
      <c r="D17" s="39">
        <f>IF(MID(forfait,1,3)="A -",(D10*0.61)+(SUM(D10:D15)*0.07),IF(MID(forfait,1,3)="B -",D10*0.2,IF(MID(forfait,1,3)="C -",(D15*0.04)+(SUM(D10:D14)*0.08),0)))</f>
        <v>0</v>
      </c>
      <c r="E17" s="40">
        <f>IF(MID(forfait,1,3)="A -",(E10*0.61)+(SUM(E10:E15)*0.07),IF(MID(forfait,1,3)="B -",E10*0.2,IF(MID(forfait,1,3)="C -",(E15*0.04)+(SUM(E10:E14)*0.08),0)))</f>
        <v>0</v>
      </c>
      <c r="F17" s="40">
        <f>IF(MID(forfait,1,3)="A -",(F10*0.61)+(SUM(F10:F15)*0.07),IF(MID(forfait,1,3)="B -",F10*0.2,IF(MID(forfait,1,3)="C -",(F15*0.04)+(SUM(F10:F14)*0.08),0)))</f>
        <v>19803.831999999999</v>
      </c>
      <c r="G17" s="40">
        <f>IF(MID(forfait,1,3)="A -",(G10*0.61)+(SUM(G10:G15)*0.07),IF(MID(forfait,1,3)="B -",G10*0.2,IF(MID(forfait,1,3)="C -",(G15*0.04)+(SUM(G10:G14)*0.08),0)))</f>
        <v>118.31360000000001</v>
      </c>
      <c r="H17" s="37"/>
      <c r="I17" s="37"/>
      <c r="J17" s="38">
        <f>IF(MID(forfait,1,3)="A -",(J10*0.61)+(SUM(J10:J15)*0.07),IF(MID(forfait,1,3)="B -",J10*0.2,IF(MID(forfait,1,3)="C -",(J15*0.04)+(SUM(J10:J14)*0.08),0)))</f>
        <v>19922.1456</v>
      </c>
    </row>
    <row r="18" spans="2:10" ht="33" customHeight="1" thickBot="1" x14ac:dyDescent="0.2">
      <c r="B18" s="41" t="s">
        <v>59</v>
      </c>
      <c r="C18" s="42">
        <f>SUM(Tableau_ERD[Montant total de l''opération])</f>
        <v>270427.88039999997</v>
      </c>
      <c r="D18" s="43">
        <f>SUM(Tableau_ERD[Non éligible])</f>
        <v>0</v>
      </c>
      <c r="E18" s="44">
        <f>SUM(Tableau_ERD[RF])</f>
        <v>0</v>
      </c>
      <c r="F18" s="44">
        <f>SUM(Tableau_ERD[RI])</f>
        <v>267351.73199999996</v>
      </c>
      <c r="G18" s="44">
        <f>SUM(Tableau_ERD[DE])</f>
        <v>3076.1536000000001</v>
      </c>
      <c r="H18" s="44">
        <f>SUM(Tableau_ERD[PE])</f>
        <v>0</v>
      </c>
      <c r="I18" s="44">
        <f>SUM(Tableau_ERD[RD])</f>
        <v>0</v>
      </c>
      <c r="J18" s="45">
        <f>J10+J13+J14+J15+J17</f>
        <v>270427.88559999998</v>
      </c>
    </row>
    <row r="19" spans="2:10" ht="9" customHeight="1" x14ac:dyDescent="0.15">
      <c r="B19" s="20"/>
      <c r="J19" s="21"/>
    </row>
    <row r="20" spans="2:10" ht="187.5" customHeight="1" x14ac:dyDescent="0.15">
      <c r="B20" s="255" t="str">
        <f>"Je soussigné, "&amp;nom&amp;" "&amp;prenom&amp;", "&amp;fonction&amp;CONCATENATE(", atteste que les dépenses ci-dessus sont :")&amp;
CONCATENATE("
- entregistrées dans la comptabilité générale,")&amp;CONCATENATE("
- servent directement et exclusivement les objectifs du projet tels que définis dans la convention en référence et sont donc affectées au projet dans la comptabilité analytique (ou équivalent),")&amp;CONCATENATE("
- qu'elles respectent les conditions d'éligibilité définies dans les conditions générales et particulières, notamment en termes de date de réalisation et de natures de dépenses,")&amp;CONCATENATE("
- qu'au vu des financements publics obtenus pour le projet, le montant de l'aide versée par l'ADEME ne conduit pas à dépasser le plafond d'aide publique fixé par la réglementation.")&amp;CONCATENATE("
Par ailleurs, j'ai bien noté que, conformément aux conditions générales, et sans préjudice des dispositions de l'article 8.2.4, l'ADEME pourra exiger du bénéficiaire pendant la")&amp;CONCATENATE(" Phase d'Investissement et pendant une période de dix (10) années suivant la date du solde, l'envoi de tout ou partie des pièces comptables justifiant de la réalité des ")&amp;CONCATENATE("Dépenses Eligibles et Retenues réalisées et le reversement de tout montant qui aurait été perçu à tort.")</f>
        <v>Je soussigné, Pour le Président et par délégation TIXIDOR Stéphanie, Directrice de la Direction des Finances et des Achats, atteste que les dépenses ci-dessus sont :
- entregistrées dans la comptabilité générale,
- servent directement et exclusivement les objectifs du projet tels que définis dans la convention en référence et sont donc affectées au projet dans la comptabilité analytique (ou équivalent),
- qu'elles respectent les conditions d'éligibilité définies dans les conditions générales et particulières, notamment en termes de date de réalisation et de natures de dépenses,
- qu'au vu des financements publics obtenus pour le projet, le montant de l'aide versée par l'ADEME ne conduit pas à dépasser le plafond d'aide publique fixé par la réglementation.
Par ailleurs, j'ai bien noté que, conformément aux conditions générales, et sans préjudice des dispositions de l'article 8.2.4, l'ADEME pourra exiger du bénéficiaire pendant la Phase d'Investissement et pendant une période de dix (10) années suivant la date du solde, l'envoi de tout ou partie des pièces comptables justifiant de la réalité des Dépenses Eligibles et Retenues réalisées et le reversement de tout montant qui aurait été perçu à tort.</v>
      </c>
      <c r="C20" s="255"/>
      <c r="D20" s="255"/>
      <c r="E20" s="255"/>
      <c r="F20" s="255"/>
      <c r="G20" s="255"/>
      <c r="H20" s="255"/>
      <c r="I20" s="255"/>
      <c r="J20" s="255"/>
    </row>
    <row r="21" spans="2:10" x14ac:dyDescent="0.15">
      <c r="B21" s="20"/>
      <c r="J21" s="21"/>
    </row>
    <row r="22" spans="2:10" ht="16" x14ac:dyDescent="0.2">
      <c r="B22" s="20"/>
      <c r="F22" s="46" t="s">
        <v>60</v>
      </c>
      <c r="G22" s="47">
        <f>+'Données initiales'!C7</f>
        <v>198307662</v>
      </c>
      <c r="H22" s="48"/>
      <c r="I22" s="48"/>
      <c r="J22" s="21"/>
    </row>
    <row r="23" spans="2:10" ht="16" x14ac:dyDescent="0.2">
      <c r="B23" s="20"/>
      <c r="F23" s="46" t="s">
        <v>61</v>
      </c>
      <c r="G23" s="49">
        <v>45845</v>
      </c>
      <c r="H23" s="50"/>
      <c r="I23" s="50"/>
      <c r="J23" s="21"/>
    </row>
    <row r="24" spans="2:10" ht="16" x14ac:dyDescent="0.2">
      <c r="B24" s="20"/>
      <c r="F24" s="46" t="s">
        <v>62</v>
      </c>
      <c r="G24" s="51"/>
      <c r="H24" s="52"/>
      <c r="I24" s="52"/>
      <c r="J24" s="21"/>
    </row>
    <row r="25" spans="2:10" ht="16.5" customHeight="1" x14ac:dyDescent="0.15">
      <c r="B25" s="20"/>
      <c r="J25" s="21"/>
    </row>
    <row r="26" spans="2:10" ht="18.75" customHeight="1" x14ac:dyDescent="0.15">
      <c r="B26" s="20"/>
      <c r="J26" s="21"/>
    </row>
    <row r="27" spans="2:10" ht="12.75" customHeight="1" x14ac:dyDescent="0.15">
      <c r="B27" s="20"/>
      <c r="J27" s="21"/>
    </row>
    <row r="28" spans="2:10" ht="15" thickBot="1" x14ac:dyDescent="0.2">
      <c r="B28" s="53"/>
      <c r="C28" s="54"/>
      <c r="D28" s="54"/>
      <c r="E28" s="54"/>
      <c r="F28" s="54"/>
      <c r="G28" s="54"/>
      <c r="H28" s="54"/>
      <c r="I28" s="54"/>
      <c r="J28" s="55"/>
    </row>
  </sheetData>
  <mergeCells count="6">
    <mergeCell ref="B20:J20"/>
    <mergeCell ref="B2:J2"/>
    <mergeCell ref="B3:J3"/>
    <mergeCell ref="B4:J4"/>
    <mergeCell ref="B7:J7"/>
    <mergeCell ref="B8:J8"/>
  </mergeCells>
  <conditionalFormatting sqref="C10">
    <cfRule type="expression" dxfId="14" priority="2">
      <formula>AND($C$10&lt;&gt;"",$C$10&lt;&gt;($D$10+$E$10+$F$10+$G$10))</formula>
    </cfRule>
  </conditionalFormatting>
  <conditionalFormatting sqref="C11">
    <cfRule type="expression" dxfId="13" priority="3">
      <formula>AND($C$11&lt;&gt;"",$C$11&lt;&gt;($D$11+$E$11+$F$11+$G$11))</formula>
    </cfRule>
  </conditionalFormatting>
  <conditionalFormatting sqref="C12">
    <cfRule type="expression" dxfId="12" priority="4">
      <formula>AND($C$12&lt;&gt;"",$C$12&lt;&gt;($D$12+$E$12+$F$12+$G$12))</formula>
    </cfRule>
  </conditionalFormatting>
  <conditionalFormatting sqref="C13">
    <cfRule type="expression" dxfId="11" priority="5">
      <formula>AND($C$13&lt;&gt;"",$C$13&lt;&gt;($D$13+$E$13+$F$13+$G$13))</formula>
    </cfRule>
  </conditionalFormatting>
  <conditionalFormatting sqref="C14">
    <cfRule type="expression" dxfId="10" priority="6">
      <formula>AND($C$14&lt;&gt;"",$C$14&lt;&gt;($D$14+$E$14+$F$14+$G$14))</formula>
    </cfRule>
  </conditionalFormatting>
  <conditionalFormatting sqref="C15">
    <cfRule type="expression" dxfId="9" priority="7">
      <formula>AND($C$15&lt;&gt;"",$C$15&lt;&gt;($D$15+$E$15+$F$15+$G$15))</formula>
    </cfRule>
  </conditionalFormatting>
  <conditionalFormatting sqref="C17">
    <cfRule type="expression" dxfId="8" priority="8">
      <formula>AND($C$17&lt;&gt;"",$C$17&lt;&gt;($D$17+$E$17+$F$17+$G$17))</formula>
    </cfRule>
  </conditionalFormatting>
  <pageMargins left="0.31527777777777799" right="0.31527777777777799" top="0.55138888888888904" bottom="0.55138888888888904" header="0.511811023622047" footer="0.511811023622047"/>
  <pageSetup paperSize="9" scale="63" orientation="landscape"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pageSetUpPr fitToPage="1"/>
  </sheetPr>
  <dimension ref="A2:S59"/>
  <sheetViews>
    <sheetView showGridLines="0" tabSelected="1" zoomScale="113" zoomScaleNormal="85" workbookViewId="0">
      <pane ySplit="11" topLeftCell="A20" activePane="bottomLeft" state="frozen"/>
      <selection pane="bottomLeft" activeCell="D40" sqref="D40:D42"/>
    </sheetView>
  </sheetViews>
  <sheetFormatPr baseColWidth="10" defaultColWidth="11.6640625" defaultRowHeight="14" x14ac:dyDescent="0.15"/>
  <cols>
    <col min="1" max="1" width="21.83203125" style="18" bestFit="1" customWidth="1"/>
    <col min="2" max="2" width="15.6640625" style="18" customWidth="1"/>
    <col min="3" max="3" width="29" style="18" customWidth="1"/>
    <col min="4" max="4" width="15.1640625" style="18" customWidth="1"/>
    <col min="5" max="5" width="14.5" style="18" customWidth="1"/>
    <col min="6" max="6" width="13.5" style="18" customWidth="1"/>
    <col min="7" max="8" width="11.6640625" style="18"/>
    <col min="9" max="9" width="20.33203125" style="18" customWidth="1"/>
    <col min="10" max="17" width="18" style="18" customWidth="1"/>
    <col min="18" max="18" width="11.6640625" style="18"/>
    <col min="19" max="24" width="12.5" style="18" customWidth="1"/>
    <col min="25" max="16384" width="11.6640625" style="18"/>
  </cols>
  <sheetData>
    <row r="2" spans="1:19" ht="62.25" customHeight="1" x14ac:dyDescent="0.15">
      <c r="A2" s="263" t="s">
        <v>63</v>
      </c>
      <c r="B2" s="263"/>
      <c r="C2" s="263"/>
      <c r="D2" s="263"/>
      <c r="E2" s="263"/>
      <c r="F2" s="263"/>
      <c r="G2" s="263"/>
      <c r="H2" s="263"/>
      <c r="I2" s="263"/>
      <c r="J2" s="263"/>
      <c r="K2" s="263"/>
      <c r="L2" s="263"/>
      <c r="M2" s="263"/>
      <c r="N2" s="263"/>
      <c r="O2" s="263"/>
      <c r="P2" s="263"/>
      <c r="Q2" s="263"/>
    </row>
    <row r="3" spans="1:19" ht="11.25" customHeight="1" x14ac:dyDescent="0.15">
      <c r="A3" s="264" t="s">
        <v>64</v>
      </c>
      <c r="B3" s="264"/>
      <c r="C3" s="264"/>
      <c r="D3" s="264"/>
      <c r="E3" s="264"/>
      <c r="F3" s="264"/>
      <c r="G3" s="264"/>
      <c r="H3" s="264"/>
      <c r="I3" s="264"/>
      <c r="J3" s="264"/>
      <c r="K3" s="264"/>
      <c r="L3" s="264"/>
      <c r="M3" s="264"/>
      <c r="N3" s="264"/>
      <c r="O3" s="264"/>
      <c r="P3" s="264"/>
      <c r="Q3" s="264"/>
    </row>
    <row r="4" spans="1:19" ht="11.25" customHeight="1" x14ac:dyDescent="0.15">
      <c r="A4" s="265" t="s">
        <v>65</v>
      </c>
      <c r="B4" s="265"/>
      <c r="C4" s="265"/>
      <c r="D4" s="265"/>
      <c r="E4" s="265"/>
      <c r="F4" s="265"/>
      <c r="G4" s="265"/>
      <c r="H4" s="265"/>
      <c r="I4" s="265"/>
      <c r="J4" s="265"/>
      <c r="K4" s="265"/>
      <c r="L4" s="265"/>
      <c r="M4" s="265"/>
      <c r="N4" s="265"/>
      <c r="O4" s="265"/>
      <c r="P4" s="265"/>
      <c r="Q4" s="265"/>
    </row>
    <row r="5" spans="1:19" ht="11.25" customHeight="1" x14ac:dyDescent="0.15">
      <c r="A5" s="266" t="s">
        <v>66</v>
      </c>
      <c r="B5" s="266"/>
      <c r="C5" s="266"/>
      <c r="D5" s="266"/>
      <c r="E5" s="266"/>
      <c r="F5" s="266"/>
      <c r="G5" s="266"/>
      <c r="H5" s="266"/>
      <c r="I5" s="266"/>
      <c r="J5" s="266"/>
      <c r="K5" s="266"/>
      <c r="L5" s="266"/>
      <c r="M5" s="266"/>
      <c r="N5" s="266"/>
      <c r="O5" s="266"/>
      <c r="P5" s="266"/>
      <c r="Q5" s="266"/>
    </row>
    <row r="7" spans="1:19" ht="30" customHeight="1" x14ac:dyDescent="0.2">
      <c r="A7" s="56"/>
      <c r="B7" s="25" t="s">
        <v>67</v>
      </c>
      <c r="C7" s="267" t="str">
        <f>projet</f>
        <v>PSI-BIOM</v>
      </c>
      <c r="D7" s="267"/>
      <c r="E7" s="57"/>
      <c r="F7" s="268" t="s">
        <v>43</v>
      </c>
      <c r="G7" s="268"/>
      <c r="H7" s="267" t="str">
        <f>beneficiaire</f>
        <v>UNIVERSITE DE TOULON</v>
      </c>
      <c r="I7" s="267"/>
      <c r="J7" s="58"/>
      <c r="K7" s="58"/>
      <c r="L7" s="58"/>
      <c r="M7" s="25" t="s">
        <v>44</v>
      </c>
      <c r="N7" s="269" t="str">
        <f>num_convention</f>
        <v xml:space="preserve"> 2182D0406-C</v>
      </c>
      <c r="O7" s="269"/>
      <c r="P7" s="269"/>
      <c r="Q7" s="269"/>
    </row>
    <row r="8" spans="1:19" ht="19.5" customHeight="1" x14ac:dyDescent="0.15">
      <c r="A8" s="259" t="str">
        <f>"  Etat d'avancement de la période du "&amp;TEXT(date_debut,"jj/mm/aaaa")&amp;" au "&amp;TEXT(date_fin,"jj/mm/aaaa")</f>
        <v xml:space="preserve">  Etat d'avancement de la période du 20/12/2021 au 20/06/2025</v>
      </c>
      <c r="B8" s="259"/>
      <c r="C8" s="259"/>
      <c r="D8" s="259"/>
      <c r="E8" s="259"/>
      <c r="F8" s="259"/>
      <c r="G8" s="259"/>
      <c r="H8" s="259"/>
      <c r="I8" s="259"/>
      <c r="J8" s="259"/>
      <c r="K8" s="259"/>
      <c r="L8" s="259"/>
      <c r="M8" s="259"/>
      <c r="N8" s="259"/>
      <c r="O8" s="259"/>
      <c r="P8" s="259"/>
      <c r="Q8" s="259"/>
    </row>
    <row r="9" spans="1:19" ht="19.5" customHeight="1" x14ac:dyDescent="0.15">
      <c r="A9" s="259" t="str">
        <f>IF('Données initiales'!C15="Solde", 'Données initiales'!C15, +" Etape clé "&amp;num_etape)</f>
        <v>Solde</v>
      </c>
      <c r="B9" s="259"/>
      <c r="C9" s="259"/>
      <c r="D9" s="259"/>
      <c r="E9" s="259"/>
      <c r="F9" s="259"/>
      <c r="G9" s="259"/>
      <c r="H9" s="259"/>
      <c r="I9" s="259"/>
      <c r="J9" s="259"/>
      <c r="K9" s="259"/>
      <c r="L9" s="259"/>
      <c r="M9" s="259"/>
      <c r="N9" s="259"/>
      <c r="O9" s="259"/>
      <c r="P9" s="259"/>
      <c r="Q9" s="259"/>
    </row>
    <row r="10" spans="1:19" ht="19.5" customHeight="1" x14ac:dyDescent="0.15">
      <c r="A10" s="261" t="s">
        <v>123</v>
      </c>
      <c r="B10" s="261"/>
      <c r="C10" s="261"/>
      <c r="D10" s="261"/>
      <c r="E10" s="261"/>
      <c r="F10" s="261"/>
      <c r="G10" s="261"/>
      <c r="H10" s="261"/>
      <c r="I10" s="261"/>
      <c r="J10" s="261"/>
      <c r="K10" s="261"/>
      <c r="L10" s="261"/>
      <c r="M10" s="261"/>
      <c r="N10" s="261"/>
      <c r="O10" s="261"/>
      <c r="P10" s="261"/>
      <c r="Q10" s="261"/>
    </row>
    <row r="11" spans="1:19" ht="68.25" customHeight="1" x14ac:dyDescent="0.15">
      <c r="A11" s="59" t="s">
        <v>68</v>
      </c>
      <c r="B11" s="60" t="s">
        <v>69</v>
      </c>
      <c r="C11" s="60" t="s">
        <v>70</v>
      </c>
      <c r="D11" s="60" t="s">
        <v>71</v>
      </c>
      <c r="E11" s="60" t="s">
        <v>72</v>
      </c>
      <c r="F11" s="60" t="s">
        <v>73</v>
      </c>
      <c r="G11" s="60" t="s">
        <v>74</v>
      </c>
      <c r="H11" s="60" t="s">
        <v>75</v>
      </c>
      <c r="I11" s="61" t="s">
        <v>76</v>
      </c>
      <c r="J11" s="62" t="s">
        <v>77</v>
      </c>
      <c r="K11" s="63" t="s">
        <v>47</v>
      </c>
      <c r="L11" s="60" t="s">
        <v>48</v>
      </c>
      <c r="M11" s="60" t="s">
        <v>49</v>
      </c>
      <c r="N11" s="61" t="s">
        <v>50</v>
      </c>
      <c r="O11" s="61" t="s">
        <v>51</v>
      </c>
      <c r="P11" s="61" t="s">
        <v>52</v>
      </c>
      <c r="Q11" s="64" t="s">
        <v>181</v>
      </c>
      <c r="R11" s="206" t="s">
        <v>124</v>
      </c>
      <c r="S11" s="183" t="s">
        <v>125</v>
      </c>
    </row>
    <row r="12" spans="1:19" ht="17.75" customHeight="1" x14ac:dyDescent="0.15">
      <c r="A12" s="65" t="s">
        <v>129</v>
      </c>
      <c r="B12" s="66" t="s">
        <v>128</v>
      </c>
      <c r="C12" s="66" t="s">
        <v>130</v>
      </c>
      <c r="D12" s="222" t="s">
        <v>182</v>
      </c>
      <c r="E12" s="67">
        <v>45217</v>
      </c>
      <c r="F12" s="67">
        <v>45260</v>
      </c>
      <c r="G12" s="223" t="s">
        <v>134</v>
      </c>
      <c r="H12" s="66">
        <v>1.5</v>
      </c>
      <c r="I12" s="68">
        <v>3047.49</v>
      </c>
      <c r="J12" s="69">
        <v>4384.91</v>
      </c>
      <c r="K12" s="70"/>
      <c r="L12" s="71"/>
      <c r="M12" s="71">
        <v>4384.91</v>
      </c>
      <c r="N12" s="68"/>
      <c r="O12" s="68"/>
      <c r="P12" s="68"/>
      <c r="Q12"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4384.91</v>
      </c>
    </row>
    <row r="13" spans="1:19" ht="17.75" customHeight="1" x14ac:dyDescent="0.15">
      <c r="A13" s="65" t="s">
        <v>129</v>
      </c>
      <c r="B13" s="66" t="s">
        <v>128</v>
      </c>
      <c r="C13" s="66" t="s">
        <v>130</v>
      </c>
      <c r="D13" s="222" t="s">
        <v>182</v>
      </c>
      <c r="E13" s="67">
        <v>45261</v>
      </c>
      <c r="F13" s="67">
        <v>45291</v>
      </c>
      <c r="G13" s="223" t="s">
        <v>134</v>
      </c>
      <c r="H13" s="66">
        <v>1</v>
      </c>
      <c r="I13" s="68">
        <v>3047.49</v>
      </c>
      <c r="J13" s="69">
        <v>3063.69</v>
      </c>
      <c r="K13" s="70"/>
      <c r="L13" s="71"/>
      <c r="M13" s="71">
        <v>3063.69</v>
      </c>
      <c r="N13" s="68"/>
      <c r="O13" s="68"/>
      <c r="P13" s="68"/>
      <c r="Q13"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3063.69</v>
      </c>
      <c r="R13" s="226"/>
      <c r="S13" s="226"/>
    </row>
    <row r="14" spans="1:19" ht="17.75" customHeight="1" x14ac:dyDescent="0.15">
      <c r="A14" s="65" t="s">
        <v>126</v>
      </c>
      <c r="B14" s="66" t="s">
        <v>128</v>
      </c>
      <c r="C14" s="66" t="s">
        <v>135</v>
      </c>
      <c r="D14" s="222" t="s">
        <v>182</v>
      </c>
      <c r="E14" s="67">
        <v>44928</v>
      </c>
      <c r="F14" s="67">
        <v>44957</v>
      </c>
      <c r="G14" s="66" t="s">
        <v>134</v>
      </c>
      <c r="H14" s="66">
        <v>1</v>
      </c>
      <c r="I14" s="68">
        <v>611</v>
      </c>
      <c r="J14" s="69">
        <v>595.35</v>
      </c>
      <c r="K14" s="70"/>
      <c r="L14" s="71"/>
      <c r="M14" s="71">
        <v>595.35</v>
      </c>
      <c r="N14" s="68"/>
      <c r="O14" s="68"/>
      <c r="P14" s="68"/>
      <c r="Q14"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595.35</v>
      </c>
      <c r="R14" s="228">
        <v>30002273</v>
      </c>
      <c r="S14" s="229">
        <v>44966</v>
      </c>
    </row>
    <row r="15" spans="1:19" ht="17.75" customHeight="1" x14ac:dyDescent="0.15">
      <c r="A15" s="65" t="s">
        <v>126</v>
      </c>
      <c r="B15" s="66" t="s">
        <v>128</v>
      </c>
      <c r="C15" s="66" t="s">
        <v>136</v>
      </c>
      <c r="D15" s="222" t="s">
        <v>182</v>
      </c>
      <c r="E15" s="67">
        <v>44958</v>
      </c>
      <c r="F15" s="67">
        <v>44985</v>
      </c>
      <c r="G15" s="66" t="s">
        <v>134</v>
      </c>
      <c r="H15" s="66">
        <v>1</v>
      </c>
      <c r="I15" s="68">
        <v>611</v>
      </c>
      <c r="J15" s="69">
        <v>567</v>
      </c>
      <c r="K15" s="70"/>
      <c r="L15" s="71"/>
      <c r="M15" s="71">
        <v>567</v>
      </c>
      <c r="N15" s="68"/>
      <c r="O15" s="68"/>
      <c r="P15" s="68"/>
      <c r="Q15"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567</v>
      </c>
      <c r="R15" s="228">
        <v>30003667</v>
      </c>
      <c r="S15" s="229">
        <v>44985</v>
      </c>
    </row>
    <row r="16" spans="1:19" ht="17.75" customHeight="1" x14ac:dyDescent="0.15">
      <c r="A16" s="65" t="s">
        <v>127</v>
      </c>
      <c r="B16" s="66" t="s">
        <v>128</v>
      </c>
      <c r="C16" s="66" t="s">
        <v>136</v>
      </c>
      <c r="D16" s="222" t="s">
        <v>182</v>
      </c>
      <c r="E16" s="67">
        <v>44958</v>
      </c>
      <c r="F16" s="67">
        <v>44985</v>
      </c>
      <c r="G16" s="66" t="s">
        <v>134</v>
      </c>
      <c r="H16" s="66">
        <v>1</v>
      </c>
      <c r="I16" s="68">
        <v>611</v>
      </c>
      <c r="J16" s="224">
        <v>567</v>
      </c>
      <c r="K16" s="70"/>
      <c r="L16" s="71"/>
      <c r="M16" s="71">
        <v>567</v>
      </c>
      <c r="N16" s="68"/>
      <c r="O16" s="68"/>
      <c r="P16" s="68"/>
      <c r="Q16"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567</v>
      </c>
      <c r="R16" s="228">
        <v>30003668</v>
      </c>
      <c r="S16" s="229">
        <v>44985</v>
      </c>
    </row>
    <row r="17" spans="1:19" ht="17.25" customHeight="1" x14ac:dyDescent="0.15">
      <c r="A17" s="65" t="s">
        <v>126</v>
      </c>
      <c r="B17" s="66" t="s">
        <v>128</v>
      </c>
      <c r="C17" s="66" t="s">
        <v>137</v>
      </c>
      <c r="D17" s="222" t="s">
        <v>182</v>
      </c>
      <c r="E17" s="67">
        <v>44986</v>
      </c>
      <c r="F17" s="67">
        <v>45016</v>
      </c>
      <c r="G17" s="66" t="s">
        <v>134</v>
      </c>
      <c r="H17" s="66">
        <v>1</v>
      </c>
      <c r="I17" s="68">
        <v>611</v>
      </c>
      <c r="J17" s="224">
        <v>652.04999999999995</v>
      </c>
      <c r="K17" s="70"/>
      <c r="L17" s="71"/>
      <c r="M17" s="71">
        <v>652.04999999999995</v>
      </c>
      <c r="N17" s="68"/>
      <c r="O17" s="68"/>
      <c r="P17" s="68"/>
      <c r="Q17"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652.04999999999995</v>
      </c>
      <c r="R17" s="228">
        <v>30006022</v>
      </c>
      <c r="S17" s="229">
        <v>45019</v>
      </c>
    </row>
    <row r="18" spans="1:19" ht="17.25" customHeight="1" x14ac:dyDescent="0.15">
      <c r="A18" s="65" t="s">
        <v>127</v>
      </c>
      <c r="B18" s="66" t="s">
        <v>128</v>
      </c>
      <c r="C18" s="66" t="s">
        <v>137</v>
      </c>
      <c r="D18" s="222" t="s">
        <v>183</v>
      </c>
      <c r="E18" s="67">
        <v>44986</v>
      </c>
      <c r="F18" s="67">
        <v>45016</v>
      </c>
      <c r="G18" s="66" t="s">
        <v>134</v>
      </c>
      <c r="H18" s="66">
        <v>1</v>
      </c>
      <c r="I18" s="68">
        <v>611</v>
      </c>
      <c r="J18" s="224">
        <v>652.04999999999995</v>
      </c>
      <c r="K18" s="70"/>
      <c r="L18" s="71"/>
      <c r="M18" s="71">
        <v>652.04999999999995</v>
      </c>
      <c r="N18" s="68"/>
      <c r="O18" s="68"/>
      <c r="P18" s="68"/>
      <c r="Q18"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652.04999999999995</v>
      </c>
      <c r="R18" s="228">
        <v>30006023</v>
      </c>
      <c r="S18" s="229">
        <v>45019</v>
      </c>
    </row>
    <row r="19" spans="1:19" ht="23.25" customHeight="1" x14ac:dyDescent="0.15">
      <c r="A19" s="65" t="s">
        <v>126</v>
      </c>
      <c r="B19" s="66" t="s">
        <v>128</v>
      </c>
      <c r="C19" s="66" t="s">
        <v>138</v>
      </c>
      <c r="D19" s="222" t="s">
        <v>183</v>
      </c>
      <c r="E19" s="67">
        <v>45017</v>
      </c>
      <c r="F19" s="67">
        <v>45046</v>
      </c>
      <c r="G19" s="66" t="s">
        <v>134</v>
      </c>
      <c r="H19" s="66">
        <v>1</v>
      </c>
      <c r="I19" s="68">
        <v>611</v>
      </c>
      <c r="J19" s="224">
        <v>538.65</v>
      </c>
      <c r="K19" s="70"/>
      <c r="L19" s="71"/>
      <c r="M19" s="71">
        <v>538.65</v>
      </c>
      <c r="N19" s="68"/>
      <c r="O19" s="68"/>
      <c r="P19" s="68"/>
      <c r="Q19"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538.65</v>
      </c>
      <c r="R19" s="228">
        <v>30007623</v>
      </c>
      <c r="S19" s="229">
        <v>45049</v>
      </c>
    </row>
    <row r="20" spans="1:19" ht="30" customHeight="1" x14ac:dyDescent="0.15">
      <c r="A20" s="189" t="s">
        <v>127</v>
      </c>
      <c r="B20" s="66" t="s">
        <v>128</v>
      </c>
      <c r="C20" s="66" t="s">
        <v>138</v>
      </c>
      <c r="D20" s="222" t="s">
        <v>183</v>
      </c>
      <c r="E20" s="67">
        <v>45017</v>
      </c>
      <c r="F20" s="67">
        <v>45046</v>
      </c>
      <c r="G20" s="66" t="s">
        <v>134</v>
      </c>
      <c r="H20" s="66">
        <v>1</v>
      </c>
      <c r="I20" s="68">
        <v>611</v>
      </c>
      <c r="J20" s="224">
        <v>538.65</v>
      </c>
      <c r="K20" s="70"/>
      <c r="L20" s="71"/>
      <c r="M20" s="71">
        <v>538.65</v>
      </c>
      <c r="N20" s="68"/>
      <c r="O20" s="68"/>
      <c r="P20" s="68"/>
      <c r="Q20"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538.65</v>
      </c>
      <c r="R20" s="228">
        <v>30007624</v>
      </c>
      <c r="S20" s="229">
        <v>45049</v>
      </c>
    </row>
    <row r="21" spans="1:19" ht="15" x14ac:dyDescent="0.15">
      <c r="A21" s="197" t="s">
        <v>126</v>
      </c>
      <c r="B21" s="66" t="s">
        <v>128</v>
      </c>
      <c r="C21" s="66" t="s">
        <v>139</v>
      </c>
      <c r="D21" s="222" t="s">
        <v>183</v>
      </c>
      <c r="E21" s="67">
        <v>45047</v>
      </c>
      <c r="F21" s="67">
        <v>45077</v>
      </c>
      <c r="G21" s="66" t="s">
        <v>134</v>
      </c>
      <c r="H21" s="66">
        <v>1</v>
      </c>
      <c r="I21" s="68">
        <v>611</v>
      </c>
      <c r="J21" s="224">
        <v>538.65</v>
      </c>
      <c r="K21" s="70"/>
      <c r="L21" s="71"/>
      <c r="M21" s="71">
        <v>538.65</v>
      </c>
      <c r="N21" s="68"/>
      <c r="O21" s="68"/>
      <c r="P21" s="68"/>
      <c r="Q21"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538.65</v>
      </c>
      <c r="R21" s="228">
        <v>30009920</v>
      </c>
      <c r="S21" s="229">
        <v>45086</v>
      </c>
    </row>
    <row r="22" spans="1:19" ht="15" x14ac:dyDescent="0.15">
      <c r="A22" s="197" t="s">
        <v>127</v>
      </c>
      <c r="B22" s="66" t="s">
        <v>128</v>
      </c>
      <c r="C22" s="66" t="s">
        <v>139</v>
      </c>
      <c r="D22" s="222" t="s">
        <v>183</v>
      </c>
      <c r="E22" s="67">
        <v>45047</v>
      </c>
      <c r="F22" s="67">
        <v>45077</v>
      </c>
      <c r="G22" s="66" t="s">
        <v>134</v>
      </c>
      <c r="H22" s="66">
        <v>1</v>
      </c>
      <c r="I22" s="68">
        <v>611</v>
      </c>
      <c r="J22" s="224">
        <v>538.65</v>
      </c>
      <c r="K22" s="70"/>
      <c r="L22" s="71"/>
      <c r="M22" s="71">
        <v>538.65</v>
      </c>
      <c r="N22" s="68"/>
      <c r="O22" s="68"/>
      <c r="P22" s="68"/>
      <c r="Q22"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538.65</v>
      </c>
      <c r="R22" s="228">
        <v>30009921</v>
      </c>
      <c r="S22" s="229">
        <v>45086</v>
      </c>
    </row>
    <row r="23" spans="1:19" ht="15" x14ac:dyDescent="0.15">
      <c r="A23" s="197" t="s">
        <v>127</v>
      </c>
      <c r="B23" s="66" t="s">
        <v>128</v>
      </c>
      <c r="C23" s="66" t="s">
        <v>140</v>
      </c>
      <c r="D23" s="222" t="s">
        <v>183</v>
      </c>
      <c r="E23" s="67">
        <v>45078</v>
      </c>
      <c r="F23" s="67">
        <v>45107</v>
      </c>
      <c r="G23" s="66" t="s">
        <v>134</v>
      </c>
      <c r="H23" s="66">
        <v>1</v>
      </c>
      <c r="I23" s="68">
        <v>611</v>
      </c>
      <c r="J23" s="69">
        <v>623.70000000000005</v>
      </c>
      <c r="K23" s="70"/>
      <c r="L23" s="71"/>
      <c r="M23" s="71">
        <v>623.70000000000005</v>
      </c>
      <c r="N23" s="68"/>
      <c r="O23" s="68"/>
      <c r="P23" s="68"/>
      <c r="Q23"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623.70000000000005</v>
      </c>
      <c r="R23" s="228">
        <v>30011768</v>
      </c>
      <c r="S23" s="229">
        <v>45111</v>
      </c>
    </row>
    <row r="24" spans="1:19" ht="15" x14ac:dyDescent="0.15">
      <c r="A24" s="197" t="s">
        <v>126</v>
      </c>
      <c r="B24" s="66" t="s">
        <v>128</v>
      </c>
      <c r="C24" s="66" t="s">
        <v>140</v>
      </c>
      <c r="D24" s="222" t="s">
        <v>183</v>
      </c>
      <c r="E24" s="67">
        <v>45078</v>
      </c>
      <c r="F24" s="67">
        <v>45107</v>
      </c>
      <c r="G24" s="66" t="s">
        <v>134</v>
      </c>
      <c r="H24" s="66">
        <v>1</v>
      </c>
      <c r="I24" s="73">
        <v>611</v>
      </c>
      <c r="J24" s="74">
        <v>623.70000000000005</v>
      </c>
      <c r="K24" s="75"/>
      <c r="L24" s="76"/>
      <c r="M24" s="76">
        <v>623.70000000000005</v>
      </c>
      <c r="N24" s="77"/>
      <c r="O24" s="77"/>
      <c r="P24" s="77"/>
      <c r="Q24"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623.70000000000005</v>
      </c>
      <c r="R24" s="228">
        <v>30011769</v>
      </c>
      <c r="S24" s="229">
        <v>45111</v>
      </c>
    </row>
    <row r="25" spans="1:19" ht="15" x14ac:dyDescent="0.15">
      <c r="A25" s="197" t="s">
        <v>129</v>
      </c>
      <c r="B25" s="66" t="s">
        <v>128</v>
      </c>
      <c r="C25" s="80" t="s">
        <v>130</v>
      </c>
      <c r="D25" s="222" t="s">
        <v>182</v>
      </c>
      <c r="E25" s="81">
        <v>45292</v>
      </c>
      <c r="F25" s="81">
        <v>45657</v>
      </c>
      <c r="G25" s="66" t="s">
        <v>134</v>
      </c>
      <c r="H25" s="66">
        <v>12</v>
      </c>
      <c r="I25" s="82">
        <v>3550</v>
      </c>
      <c r="J25" s="74">
        <v>37329.96</v>
      </c>
      <c r="K25" s="75"/>
      <c r="L25" s="76"/>
      <c r="M25" s="76">
        <v>37329.96</v>
      </c>
      <c r="N25" s="77"/>
      <c r="O25" s="77"/>
      <c r="P25" s="77"/>
      <c r="Q25"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37329.96</v>
      </c>
      <c r="R25" s="230"/>
      <c r="S25" s="231"/>
    </row>
    <row r="26" spans="1:19" ht="15" x14ac:dyDescent="0.15">
      <c r="A26" s="197" t="s">
        <v>160</v>
      </c>
      <c r="B26" s="66" t="s">
        <v>128</v>
      </c>
      <c r="C26" s="66" t="s">
        <v>130</v>
      </c>
      <c r="D26" s="222" t="s">
        <v>185</v>
      </c>
      <c r="E26" s="81">
        <v>45369</v>
      </c>
      <c r="F26" s="81">
        <v>45657</v>
      </c>
      <c r="G26" s="66" t="s">
        <v>134</v>
      </c>
      <c r="H26" s="66">
        <v>9.5</v>
      </c>
      <c r="I26" s="82">
        <v>3550</v>
      </c>
      <c r="J26" s="74">
        <v>26720.06</v>
      </c>
      <c r="K26" s="75"/>
      <c r="L26" s="76"/>
      <c r="M26" s="76">
        <v>26720.06</v>
      </c>
      <c r="N26" s="77"/>
      <c r="O26" s="77"/>
      <c r="P26" s="77"/>
      <c r="Q26"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26720.06</v>
      </c>
      <c r="R26" s="230"/>
      <c r="S26" s="231"/>
    </row>
    <row r="27" spans="1:19" ht="15" x14ac:dyDescent="0.15">
      <c r="A27" s="197" t="s">
        <v>161</v>
      </c>
      <c r="B27" s="66" t="s">
        <v>128</v>
      </c>
      <c r="C27" s="66" t="s">
        <v>130</v>
      </c>
      <c r="D27" s="222" t="s">
        <v>186</v>
      </c>
      <c r="E27" s="81">
        <v>45383</v>
      </c>
      <c r="F27" s="81">
        <v>45657</v>
      </c>
      <c r="G27" s="66" t="s">
        <v>134</v>
      </c>
      <c r="H27" s="66">
        <v>8</v>
      </c>
      <c r="I27" s="82">
        <v>3550</v>
      </c>
      <c r="J27" s="74">
        <v>27294.12</v>
      </c>
      <c r="K27" s="75"/>
      <c r="L27" s="76"/>
      <c r="M27" s="76">
        <v>27294.12</v>
      </c>
      <c r="N27" s="77"/>
      <c r="O27" s="77"/>
      <c r="P27" s="77"/>
      <c r="Q27"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27294.12</v>
      </c>
      <c r="R27" s="230"/>
      <c r="S27" s="231"/>
    </row>
    <row r="28" spans="1:19" ht="15" x14ac:dyDescent="0.15">
      <c r="A28" s="197" t="s">
        <v>162</v>
      </c>
      <c r="B28" s="66" t="s">
        <v>128</v>
      </c>
      <c r="C28" s="66" t="s">
        <v>130</v>
      </c>
      <c r="D28" s="222" t="s">
        <v>184</v>
      </c>
      <c r="E28" s="81">
        <v>45398</v>
      </c>
      <c r="F28" s="81">
        <v>45657</v>
      </c>
      <c r="G28" s="66" t="s">
        <v>134</v>
      </c>
      <c r="H28" s="66">
        <v>7.5</v>
      </c>
      <c r="I28" s="82">
        <v>3550</v>
      </c>
      <c r="J28" s="74">
        <v>31792.82</v>
      </c>
      <c r="K28" s="75"/>
      <c r="L28" s="76"/>
      <c r="M28" s="76">
        <v>31792.82</v>
      </c>
      <c r="N28" s="77"/>
      <c r="O28" s="77"/>
      <c r="P28" s="77"/>
      <c r="Q28"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31792.82</v>
      </c>
      <c r="R28" s="230"/>
      <c r="S28" s="231"/>
    </row>
    <row r="29" spans="1:19" ht="15" x14ac:dyDescent="0.15">
      <c r="A29" s="225" t="s">
        <v>163</v>
      </c>
      <c r="B29" s="66" t="s">
        <v>128</v>
      </c>
      <c r="C29" s="66" t="s">
        <v>130</v>
      </c>
      <c r="D29" s="222" t="s">
        <v>182</v>
      </c>
      <c r="E29" s="81">
        <v>45369</v>
      </c>
      <c r="F29" s="81">
        <v>45199</v>
      </c>
      <c r="G29" s="66" t="s">
        <v>134</v>
      </c>
      <c r="H29" s="66">
        <v>9.5</v>
      </c>
      <c r="I29" s="82">
        <v>3550</v>
      </c>
      <c r="J29" s="74">
        <v>18758.43</v>
      </c>
      <c r="K29" s="75"/>
      <c r="L29" s="76"/>
      <c r="M29" s="76">
        <v>18758.43</v>
      </c>
      <c r="N29" s="77"/>
      <c r="O29" s="77"/>
      <c r="P29" s="77"/>
      <c r="Q29"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18758.43</v>
      </c>
      <c r="R29" s="230"/>
      <c r="S29" s="231"/>
    </row>
    <row r="30" spans="1:19" ht="15" x14ac:dyDescent="0.15">
      <c r="A30" s="197" t="s">
        <v>175</v>
      </c>
      <c r="B30" s="66" t="s">
        <v>128</v>
      </c>
      <c r="C30" s="80" t="s">
        <v>141</v>
      </c>
      <c r="D30" s="222" t="s">
        <v>182</v>
      </c>
      <c r="E30" s="81">
        <v>45689</v>
      </c>
      <c r="F30" s="81">
        <v>45716</v>
      </c>
      <c r="G30" s="66" t="s">
        <v>134</v>
      </c>
      <c r="H30" s="66">
        <v>1</v>
      </c>
      <c r="I30" s="82">
        <v>609</v>
      </c>
      <c r="J30" s="74">
        <v>609</v>
      </c>
      <c r="K30" s="75"/>
      <c r="L30" s="76"/>
      <c r="M30" s="76">
        <v>609</v>
      </c>
      <c r="N30" s="77"/>
      <c r="O30" s="77"/>
      <c r="P30" s="77"/>
      <c r="Q30"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609</v>
      </c>
      <c r="R30" s="228" t="s">
        <v>144</v>
      </c>
      <c r="S30" s="229">
        <v>45748</v>
      </c>
    </row>
    <row r="31" spans="1:19" ht="15" x14ac:dyDescent="0.15">
      <c r="A31" s="197" t="s">
        <v>175</v>
      </c>
      <c r="B31" s="66" t="s">
        <v>128</v>
      </c>
      <c r="C31" s="80" t="s">
        <v>142</v>
      </c>
      <c r="D31" s="222" t="s">
        <v>182</v>
      </c>
      <c r="E31" s="81">
        <v>45717</v>
      </c>
      <c r="F31" s="81">
        <v>45747</v>
      </c>
      <c r="G31" s="66" t="s">
        <v>134</v>
      </c>
      <c r="H31" s="66">
        <v>1</v>
      </c>
      <c r="I31" s="82">
        <v>639.45000000000005</v>
      </c>
      <c r="J31" s="74">
        <v>639.45000000000005</v>
      </c>
      <c r="K31" s="75"/>
      <c r="L31" s="76"/>
      <c r="M31" s="76">
        <v>639.45000000000005</v>
      </c>
      <c r="N31" s="77"/>
      <c r="O31" s="77"/>
      <c r="P31" s="77"/>
      <c r="Q31"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639.45000000000005</v>
      </c>
      <c r="R31" s="228" t="s">
        <v>145</v>
      </c>
      <c r="S31" s="229">
        <v>45748</v>
      </c>
    </row>
    <row r="32" spans="1:19" ht="15" x14ac:dyDescent="0.15">
      <c r="A32" s="197" t="s">
        <v>176</v>
      </c>
      <c r="B32" s="66" t="s">
        <v>128</v>
      </c>
      <c r="C32" s="80" t="s">
        <v>142</v>
      </c>
      <c r="D32" s="222" t="s">
        <v>183</v>
      </c>
      <c r="E32" s="81">
        <v>45717</v>
      </c>
      <c r="F32" s="81">
        <v>45747</v>
      </c>
      <c r="G32" s="66" t="s">
        <v>134</v>
      </c>
      <c r="H32" s="66">
        <v>1</v>
      </c>
      <c r="I32" s="82">
        <v>730.8</v>
      </c>
      <c r="J32" s="74">
        <v>730.8</v>
      </c>
      <c r="K32" s="75"/>
      <c r="L32" s="76"/>
      <c r="M32" s="76">
        <v>730.8</v>
      </c>
      <c r="N32" s="77"/>
      <c r="O32" s="77"/>
      <c r="P32" s="77"/>
      <c r="Q32"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730.8</v>
      </c>
      <c r="R32" s="228" t="s">
        <v>146</v>
      </c>
      <c r="S32" s="229">
        <v>45749</v>
      </c>
    </row>
    <row r="33" spans="1:19" ht="15" x14ac:dyDescent="0.15">
      <c r="A33" s="197" t="s">
        <v>175</v>
      </c>
      <c r="B33" s="66" t="s">
        <v>128</v>
      </c>
      <c r="C33" s="80" t="s">
        <v>143</v>
      </c>
      <c r="D33" s="222" t="s">
        <v>182</v>
      </c>
      <c r="E33" s="81">
        <v>45748</v>
      </c>
      <c r="F33" s="81">
        <v>45777</v>
      </c>
      <c r="G33" s="66" t="s">
        <v>134</v>
      </c>
      <c r="H33" s="66">
        <v>1</v>
      </c>
      <c r="I33" s="82">
        <v>639.45000000000005</v>
      </c>
      <c r="J33" s="74">
        <v>639.45000000000005</v>
      </c>
      <c r="K33" s="75"/>
      <c r="L33" s="76"/>
      <c r="M33" s="76">
        <v>639.45000000000005</v>
      </c>
      <c r="N33" s="77"/>
      <c r="O33" s="77"/>
      <c r="P33" s="77"/>
      <c r="Q33"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639.45000000000005</v>
      </c>
      <c r="R33" s="228" t="s">
        <v>147</v>
      </c>
      <c r="S33" s="229">
        <v>45776</v>
      </c>
    </row>
    <row r="34" spans="1:19" ht="15" x14ac:dyDescent="0.15">
      <c r="A34" s="197" t="s">
        <v>176</v>
      </c>
      <c r="B34" s="66" t="s">
        <v>128</v>
      </c>
      <c r="C34" s="80" t="s">
        <v>143</v>
      </c>
      <c r="D34" s="222" t="s">
        <v>183</v>
      </c>
      <c r="E34" s="81">
        <v>45748</v>
      </c>
      <c r="F34" s="81">
        <v>45777</v>
      </c>
      <c r="G34" s="66" t="s">
        <v>134</v>
      </c>
      <c r="H34" s="66">
        <v>1</v>
      </c>
      <c r="I34" s="82">
        <v>639.45000000000005</v>
      </c>
      <c r="J34" s="74">
        <v>639.45000000000005</v>
      </c>
      <c r="K34" s="75"/>
      <c r="L34" s="76"/>
      <c r="M34" s="76">
        <v>639.45000000000005</v>
      </c>
      <c r="N34" s="77"/>
      <c r="O34" s="77"/>
      <c r="P34" s="77"/>
      <c r="Q34"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639.45000000000005</v>
      </c>
      <c r="R34" s="228">
        <v>30007201</v>
      </c>
      <c r="S34" s="229">
        <v>45776</v>
      </c>
    </row>
    <row r="35" spans="1:19" ht="15" x14ac:dyDescent="0.15">
      <c r="A35" s="197" t="s">
        <v>175</v>
      </c>
      <c r="B35" s="66" t="s">
        <v>128</v>
      </c>
      <c r="C35" s="80" t="s">
        <v>165</v>
      </c>
      <c r="D35" s="222" t="s">
        <v>182</v>
      </c>
      <c r="E35" s="81">
        <v>45778</v>
      </c>
      <c r="F35" s="81">
        <v>45808</v>
      </c>
      <c r="G35" s="66" t="s">
        <v>134</v>
      </c>
      <c r="H35" s="66">
        <v>1</v>
      </c>
      <c r="I35" s="82">
        <v>578.54999999999995</v>
      </c>
      <c r="J35" s="74">
        <v>578.54999999999995</v>
      </c>
      <c r="K35" s="75"/>
      <c r="L35" s="76"/>
      <c r="M35" s="76">
        <v>578.54999999999995</v>
      </c>
      <c r="N35" s="77"/>
      <c r="O35" s="77"/>
      <c r="P35" s="77"/>
      <c r="Q35"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578.54999999999995</v>
      </c>
      <c r="R35" s="228">
        <v>30009260</v>
      </c>
      <c r="S35" s="229">
        <v>45813</v>
      </c>
    </row>
    <row r="36" spans="1:19" ht="15" x14ac:dyDescent="0.15">
      <c r="A36" s="197" t="s">
        <v>176</v>
      </c>
      <c r="B36" s="66" t="s">
        <v>128</v>
      </c>
      <c r="C36" s="80" t="s">
        <v>165</v>
      </c>
      <c r="D36" s="222" t="s">
        <v>183</v>
      </c>
      <c r="E36" s="81">
        <v>45778</v>
      </c>
      <c r="F36" s="81">
        <v>45808</v>
      </c>
      <c r="G36" s="66" t="s">
        <v>134</v>
      </c>
      <c r="H36" s="66">
        <v>1</v>
      </c>
      <c r="I36" s="82">
        <v>578.54999999999995</v>
      </c>
      <c r="J36" s="74">
        <v>578.54999999999995</v>
      </c>
      <c r="K36" s="75"/>
      <c r="L36" s="76"/>
      <c r="M36" s="76">
        <v>578.54999999999995</v>
      </c>
      <c r="N36" s="77"/>
      <c r="O36" s="77"/>
      <c r="P36" s="77"/>
      <c r="Q36"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578.54999999999995</v>
      </c>
      <c r="R36" s="228">
        <v>30009170</v>
      </c>
      <c r="S36" s="229">
        <v>45812</v>
      </c>
    </row>
    <row r="37" spans="1:19" ht="15" x14ac:dyDescent="0.15">
      <c r="A37" s="197" t="s">
        <v>175</v>
      </c>
      <c r="B37" s="66" t="s">
        <v>128</v>
      </c>
      <c r="C37" s="80" t="s">
        <v>172</v>
      </c>
      <c r="D37" s="222" t="s">
        <v>182</v>
      </c>
      <c r="E37" s="81">
        <v>45809</v>
      </c>
      <c r="F37" s="81">
        <v>45828</v>
      </c>
      <c r="G37" s="66" t="s">
        <v>134</v>
      </c>
      <c r="H37" s="66">
        <v>0.6</v>
      </c>
      <c r="I37" s="82">
        <v>426.3</v>
      </c>
      <c r="J37" s="74">
        <v>426.3</v>
      </c>
      <c r="K37" s="75"/>
      <c r="L37" s="76"/>
      <c r="M37" s="76">
        <v>426.3</v>
      </c>
      <c r="N37" s="77"/>
      <c r="O37" s="77"/>
      <c r="P37" s="77"/>
      <c r="Q37"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426.3</v>
      </c>
      <c r="R37" s="228">
        <v>30009716</v>
      </c>
      <c r="S37" s="229">
        <v>45828</v>
      </c>
    </row>
    <row r="38" spans="1:19" ht="15" x14ac:dyDescent="0.15">
      <c r="A38" s="197" t="s">
        <v>176</v>
      </c>
      <c r="B38" s="66" t="s">
        <v>128</v>
      </c>
      <c r="C38" s="80" t="s">
        <v>172</v>
      </c>
      <c r="D38" s="222" t="s">
        <v>183</v>
      </c>
      <c r="E38" s="81">
        <v>45809</v>
      </c>
      <c r="F38" s="81">
        <v>45828</v>
      </c>
      <c r="G38" s="66" t="s">
        <v>134</v>
      </c>
      <c r="H38" s="66">
        <v>0.6</v>
      </c>
      <c r="I38" s="82">
        <v>426.3</v>
      </c>
      <c r="J38" s="74">
        <v>426.3</v>
      </c>
      <c r="K38" s="75"/>
      <c r="L38" s="76"/>
      <c r="M38" s="76">
        <v>426.3</v>
      </c>
      <c r="N38" s="77"/>
      <c r="O38" s="77"/>
      <c r="P38" s="77"/>
      <c r="Q38"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426.3</v>
      </c>
      <c r="R38" s="228">
        <v>30009717</v>
      </c>
      <c r="S38" s="229">
        <v>45828</v>
      </c>
    </row>
    <row r="39" spans="1:19" ht="15" x14ac:dyDescent="0.15">
      <c r="A39" s="197" t="s">
        <v>129</v>
      </c>
      <c r="B39" s="66" t="s">
        <v>128</v>
      </c>
      <c r="C39" s="80" t="s">
        <v>130</v>
      </c>
      <c r="D39" s="222" t="s">
        <v>182</v>
      </c>
      <c r="E39" s="81">
        <v>45658</v>
      </c>
      <c r="F39" s="81">
        <v>45828</v>
      </c>
      <c r="G39" s="66" t="s">
        <v>134</v>
      </c>
      <c r="H39" s="66">
        <v>6</v>
      </c>
      <c r="I39" s="82">
        <v>3570</v>
      </c>
      <c r="J39" s="74">
        <v>17675.41</v>
      </c>
      <c r="K39" s="75"/>
      <c r="L39" s="76"/>
      <c r="M39" s="76">
        <v>17675.41</v>
      </c>
      <c r="N39" s="77"/>
      <c r="O39" s="77"/>
      <c r="P39" s="77"/>
      <c r="Q39"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17675.41</v>
      </c>
      <c r="R39" s="226"/>
      <c r="S39" s="227"/>
    </row>
    <row r="40" spans="1:19" ht="15" x14ac:dyDescent="0.15">
      <c r="A40" s="197" t="s">
        <v>160</v>
      </c>
      <c r="B40" s="66" t="s">
        <v>128</v>
      </c>
      <c r="C40" s="66" t="s">
        <v>130</v>
      </c>
      <c r="D40" s="222" t="s">
        <v>188</v>
      </c>
      <c r="E40" s="81">
        <v>45658</v>
      </c>
      <c r="F40" s="81">
        <v>45828</v>
      </c>
      <c r="G40" s="66" t="s">
        <v>134</v>
      </c>
      <c r="H40" s="80">
        <v>6.5</v>
      </c>
      <c r="I40" s="82">
        <v>3570</v>
      </c>
      <c r="J40" s="74">
        <v>16279.41</v>
      </c>
      <c r="K40" s="75"/>
      <c r="L40" s="76"/>
      <c r="M40" s="76">
        <v>16279.41</v>
      </c>
      <c r="N40" s="77"/>
      <c r="O40" s="77"/>
      <c r="P40" s="77"/>
      <c r="Q40"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16279.41</v>
      </c>
      <c r="R40" s="226"/>
      <c r="S40" s="227"/>
    </row>
    <row r="41" spans="1:19" ht="15" x14ac:dyDescent="0.15">
      <c r="A41" s="197" t="s">
        <v>161</v>
      </c>
      <c r="B41" s="66" t="s">
        <v>128</v>
      </c>
      <c r="C41" s="66" t="s">
        <v>130</v>
      </c>
      <c r="D41" s="222" t="s">
        <v>187</v>
      </c>
      <c r="E41" s="81">
        <v>45658</v>
      </c>
      <c r="F41" s="81">
        <v>45828</v>
      </c>
      <c r="G41" s="66" t="s">
        <v>134</v>
      </c>
      <c r="H41" s="80">
        <v>6.5</v>
      </c>
      <c r="I41" s="82">
        <v>3570</v>
      </c>
      <c r="J41" s="74">
        <v>17176.240000000002</v>
      </c>
      <c r="K41" s="75"/>
      <c r="L41" s="76"/>
      <c r="M41" s="76">
        <v>17176.240000000002</v>
      </c>
      <c r="N41" s="77"/>
      <c r="O41" s="77"/>
      <c r="P41" s="77"/>
      <c r="Q41"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17176.240000000002</v>
      </c>
      <c r="R41" s="226"/>
      <c r="S41" s="227"/>
    </row>
    <row r="42" spans="1:19" ht="15" x14ac:dyDescent="0.15">
      <c r="A42" s="197" t="s">
        <v>162</v>
      </c>
      <c r="B42" s="66" t="s">
        <v>128</v>
      </c>
      <c r="C42" s="66" t="s">
        <v>130</v>
      </c>
      <c r="D42" s="222" t="s">
        <v>184</v>
      </c>
      <c r="E42" s="81">
        <v>45658</v>
      </c>
      <c r="F42" s="81">
        <v>45828</v>
      </c>
      <c r="G42" s="66" t="s">
        <v>134</v>
      </c>
      <c r="H42" s="80">
        <v>6.5</v>
      </c>
      <c r="I42" s="82">
        <v>3570</v>
      </c>
      <c r="J42" s="74">
        <v>20202.75</v>
      </c>
      <c r="K42" s="75"/>
      <c r="L42" s="76"/>
      <c r="M42" s="76">
        <v>20202.75</v>
      </c>
      <c r="N42" s="77"/>
      <c r="O42" s="77"/>
      <c r="P42" s="77"/>
      <c r="Q42"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20202.75</v>
      </c>
      <c r="R42" s="226"/>
      <c r="S42" s="227"/>
    </row>
    <row r="43" spans="1:19" ht="30" x14ac:dyDescent="0.15">
      <c r="A43" s="79" t="s">
        <v>164</v>
      </c>
      <c r="B43" s="66" t="s">
        <v>128</v>
      </c>
      <c r="C43" s="66" t="s">
        <v>130</v>
      </c>
      <c r="D43" s="222" t="s">
        <v>182</v>
      </c>
      <c r="E43" s="81">
        <v>45719</v>
      </c>
      <c r="F43" s="81">
        <v>45828</v>
      </c>
      <c r="G43" s="66" t="s">
        <v>134</v>
      </c>
      <c r="H43" s="80">
        <v>3.5</v>
      </c>
      <c r="I43" s="82">
        <v>3570</v>
      </c>
      <c r="J43" s="83">
        <v>10422.879999999999</v>
      </c>
      <c r="K43" s="75"/>
      <c r="L43" s="76"/>
      <c r="M43" s="76">
        <v>10422.879999999999</v>
      </c>
      <c r="N43" s="77"/>
      <c r="O43" s="77"/>
      <c r="P43" s="77"/>
      <c r="Q43" s="72">
        <f>IF(OR(Tableau_Salaires[[#This Row],[RF]]&lt;&gt;"",Tableau_Salaires[[#This Row],[RI]]&lt;&gt;"",Tableau_Salaires[[#This Row],[DE]]&lt;&gt;"",Tableau_Salaires[[#This Row],[PE]]&lt;&gt;"",Tableau_Salaires[[#This Row],[RD]]&lt;&gt;""),Tableau_Salaires[[#This Row],[RF]]+Tableau_Salaires[[#This Row],[RI]]+Tableau_Salaires[[#This Row],[DE]]+Tableau_Salaires[[#This Row],[PE]]+Tableau_Salaires[[#This Row],[RD]],0)</f>
        <v>10422.879999999999</v>
      </c>
    </row>
    <row r="44" spans="1:19" ht="16" x14ac:dyDescent="0.15">
      <c r="A44" s="84" t="s">
        <v>78</v>
      </c>
      <c r="B44" s="85"/>
      <c r="C44" s="85"/>
      <c r="D44" s="85"/>
      <c r="E44" s="85"/>
      <c r="F44" s="85"/>
      <c r="G44" s="85"/>
      <c r="H44" s="85"/>
      <c r="I44" s="85"/>
      <c r="J44" s="86">
        <f>SUBTOTAL(109,Tableau_Salaires[Montant total de l''opération en €])</f>
        <v>242803.97999999995</v>
      </c>
      <c r="K44" s="87">
        <f>SUBTOTAL(109,Tableau_Salaires[Non éligible])</f>
        <v>0</v>
      </c>
      <c r="L44" s="88">
        <f>SUBTOTAL(109,Tableau_Salaires[RF])</f>
        <v>0</v>
      </c>
      <c r="M44" s="88">
        <f>SUBTOTAL(109,Tableau_Salaires[RI])</f>
        <v>242803.97999999995</v>
      </c>
      <c r="N44" s="89">
        <f>SUBTOTAL(109,Tableau_Salaires[DE])</f>
        <v>0</v>
      </c>
      <c r="O44" s="89">
        <f>SUBTOTAL(109,Tableau_Salaires[PE])</f>
        <v>0</v>
      </c>
      <c r="P44" s="89">
        <f>SUBTOTAL(109,Tableau_Salaires[RD])</f>
        <v>0</v>
      </c>
      <c r="Q44" s="89">
        <f>SUBTOTAL(109,Tableau_Salaires[TOTAL])</f>
        <v>242803.97999999995</v>
      </c>
    </row>
    <row r="45" spans="1:19" x14ac:dyDescent="0.15">
      <c r="A45" s="20"/>
      <c r="Q45" s="21"/>
    </row>
    <row r="46" spans="1:19" x14ac:dyDescent="0.15">
      <c r="A46" s="262" t="str">
        <f>"Je soussigné "&amp;nom&amp;" "&amp;prenom&amp;", "&amp;fonction&amp;CONCATENATE(", certifie que les personnes ci-dessus sont bien salariées de la société ")&amp;beneficiaire&amp;CONCATENATE(" et qu'elles entrent dans la catégorie de personnel visée par la grille salariale.")</f>
        <v>Je soussigné Pour le Président et par délégation TIXIDOR Stéphanie, Directrice de la Direction des Finances et des Achats, certifie que les personnes ci-dessus sont bien salariées de la société UNIVERSITE DE TOULON et qu'elles entrent dans la catégorie de personnel visée par la grille salariale.</v>
      </c>
      <c r="B46" s="262"/>
      <c r="C46" s="262"/>
      <c r="D46" s="262"/>
      <c r="E46" s="262"/>
      <c r="F46" s="262"/>
      <c r="G46" s="262"/>
      <c r="H46" s="262"/>
      <c r="I46" s="262"/>
      <c r="J46" s="262"/>
      <c r="K46" s="262"/>
      <c r="L46" s="262"/>
      <c r="M46" s="262"/>
      <c r="N46" s="262"/>
      <c r="O46" s="262"/>
      <c r="P46" s="262"/>
      <c r="Q46" s="262"/>
    </row>
    <row r="47" spans="1:19" x14ac:dyDescent="0.15">
      <c r="A47" s="20"/>
      <c r="Q47" s="21"/>
    </row>
    <row r="48" spans="1:19" ht="16" x14ac:dyDescent="0.2">
      <c r="A48" s="20"/>
      <c r="L48" s="46" t="s">
        <v>60</v>
      </c>
      <c r="M48" s="48">
        <f>+'Données initiales'!C7</f>
        <v>198307662</v>
      </c>
      <c r="Q48" s="21"/>
    </row>
    <row r="49" spans="1:17" ht="16" x14ac:dyDescent="0.2">
      <c r="A49" s="20"/>
      <c r="L49" s="46" t="s">
        <v>61</v>
      </c>
      <c r="M49" s="50">
        <f>'Synthèse ERD'!G23</f>
        <v>45845</v>
      </c>
      <c r="Q49" s="21"/>
    </row>
    <row r="50" spans="1:17" ht="16" x14ac:dyDescent="0.2">
      <c r="A50" s="20"/>
      <c r="L50" s="46" t="s">
        <v>62</v>
      </c>
      <c r="M50" s="52"/>
      <c r="Q50" s="21"/>
    </row>
    <row r="51" spans="1:17" ht="17" x14ac:dyDescent="0.2">
      <c r="A51" s="20"/>
      <c r="M51" s="91"/>
      <c r="N51" s="91"/>
      <c r="O51" s="91"/>
      <c r="P51" s="91"/>
      <c r="Q51" s="21"/>
    </row>
    <row r="52" spans="1:17" x14ac:dyDescent="0.15">
      <c r="A52" s="20"/>
      <c r="C52" s="180"/>
      <c r="E52" s="180"/>
      <c r="Q52" s="21"/>
    </row>
    <row r="53" spans="1:17" x14ac:dyDescent="0.15">
      <c r="A53" s="20"/>
      <c r="C53" s="180"/>
      <c r="E53" s="180"/>
      <c r="Q53" s="21"/>
    </row>
    <row r="54" spans="1:17" x14ac:dyDescent="0.15">
      <c r="A54" s="20"/>
      <c r="C54" s="180"/>
      <c r="Q54" s="21"/>
    </row>
    <row r="55" spans="1:17" ht="15" thickBot="1" x14ac:dyDescent="0.2">
      <c r="A55" s="53"/>
      <c r="B55" s="54"/>
      <c r="C55" s="54"/>
      <c r="D55" s="54"/>
      <c r="E55" s="54"/>
      <c r="F55" s="54"/>
      <c r="G55" s="54"/>
      <c r="H55" s="54"/>
      <c r="I55" s="54"/>
      <c r="J55" s="54"/>
      <c r="K55" s="54"/>
      <c r="L55" s="54"/>
      <c r="M55" s="54"/>
      <c r="N55" s="54"/>
      <c r="O55" s="54"/>
      <c r="P55" s="54"/>
      <c r="Q55" s="55"/>
    </row>
    <row r="57" spans="1:17" x14ac:dyDescent="0.15">
      <c r="C57" s="181" t="s">
        <v>121</v>
      </c>
      <c r="D57" s="182"/>
      <c r="E57" s="181"/>
      <c r="F57" s="182"/>
      <c r="G57" s="182"/>
      <c r="H57" s="182"/>
      <c r="I57" s="182"/>
      <c r="J57" s="182"/>
      <c r="K57" s="182"/>
      <c r="L57" s="182"/>
      <c r="M57" s="182"/>
      <c r="N57" s="182"/>
    </row>
    <row r="58" spans="1:17" x14ac:dyDescent="0.15">
      <c r="C58" s="181" t="s">
        <v>122</v>
      </c>
      <c r="D58" s="182"/>
      <c r="E58" s="181"/>
      <c r="F58" s="182"/>
      <c r="G58" s="182"/>
      <c r="H58" s="182"/>
      <c r="I58" s="182"/>
      <c r="J58" s="182"/>
      <c r="K58" s="182"/>
      <c r="L58" s="182"/>
      <c r="M58" s="182"/>
      <c r="N58" s="182"/>
    </row>
    <row r="59" spans="1:17" x14ac:dyDescent="0.15">
      <c r="C59" s="217"/>
      <c r="D59" s="218"/>
      <c r="E59" s="218"/>
      <c r="F59" s="218"/>
      <c r="G59" s="218"/>
      <c r="H59" s="218"/>
      <c r="I59" s="218"/>
      <c r="J59" s="218"/>
      <c r="K59" s="218"/>
      <c r="L59" s="218"/>
      <c r="M59" s="218"/>
      <c r="N59" s="218"/>
    </row>
  </sheetData>
  <mergeCells count="12">
    <mergeCell ref="A8:Q8"/>
    <mergeCell ref="A9:Q9"/>
    <mergeCell ref="A10:Q10"/>
    <mergeCell ref="A46:Q46"/>
    <mergeCell ref="A2:Q2"/>
    <mergeCell ref="A3:Q3"/>
    <mergeCell ref="A4:Q4"/>
    <mergeCell ref="A5:Q5"/>
    <mergeCell ref="C7:D7"/>
    <mergeCell ref="F7:G7"/>
    <mergeCell ref="H7:I7"/>
    <mergeCell ref="N7:Q7"/>
  </mergeCells>
  <phoneticPr fontId="33" type="noConversion"/>
  <conditionalFormatting sqref="J12:J43">
    <cfRule type="expression" dxfId="7" priority="3">
      <formula>AND(J12&lt;&gt;"",J12&lt;&gt;(K12+Q12))</formula>
    </cfRule>
  </conditionalFormatting>
  <dataValidations xWindow="592" yWindow="746" count="6">
    <dataValidation allowBlank="1" showErrorMessage="1" sqref="C12:C13 C40:C43 C26:C29 J12:J43" xr:uid="{00000000-0002-0000-0300-000000000000}">
      <formula1>0</formula1>
      <formula2>0</formula2>
    </dataValidation>
    <dataValidation allowBlank="1" showInputMessage="1" showErrorMessage="1" prompt="Merci de reprendre les tâches ou lots décrits dans l'annexe financière" sqref="D12:D17" xr:uid="{00000000-0002-0000-0300-000001000000}">
      <formula1>0</formula1>
      <formula2>0</formula2>
    </dataValidation>
    <dataValidation allowBlank="1" showInputMessage="1" showErrorMessage="1" prompt="Merci de reprendre les tâches ou lots notifiés dans l'annexe financière" sqref="C14:C25 C30:C39" xr:uid="{00000000-0002-0000-0300-000002000000}">
      <formula1>0</formula1>
      <formula2>0</formula2>
    </dataValidation>
    <dataValidation type="list" allowBlank="1" showInputMessage="1" showErrorMessage="1" prompt="Merci de sélectionner une valeur dans le menu déroulant. " sqref="G12:G43" xr:uid="{00000000-0002-0000-0300-000003000000}">
      <formula1>"Heure,Jour,Mois"</formula1>
      <formula2>0</formula2>
    </dataValidation>
    <dataValidation type="list" allowBlank="1" showInputMessage="1" showErrorMessage="1" promptTitle="Prise en compte des dépenses " prompt="- Pour les établissements publics, seuls les salaires des personnels non permanents sont des dépenses éligibles. _x000a_- Pour les établissements privés, renseigner &quot;Non Applicable&quot;" sqref="B12:B43" xr:uid="{00000000-0002-0000-0300-000004000000}">
      <formula1>"Permanent,Non permanent,Non applicable"</formula1>
      <formula2>0</formula2>
    </dataValidation>
    <dataValidation type="date" allowBlank="1" showInputMessage="1" showErrorMessage="1" errorTitle="Période de référence" error="Format : jj/mm/aaaa_x000a__x000a_La date doit être entre à la date de début et de fin de la période de référence. " promptTitle="Format" prompt="Merci de saisir une date au format jj/mm/aaaa dans la période de référence" sqref="E12:F43" xr:uid="{00000000-0002-0000-0300-000005000000}">
      <formula1>date_debut</formula1>
      <formula2>date_fin</formula2>
    </dataValidation>
  </dataValidations>
  <pageMargins left="0.31527777777777799" right="0.31527777777777799" top="0.55138888888888904" bottom="0.55138888888888904" header="0.31527777777777799" footer="0.31527777777777799"/>
  <pageSetup paperSize="9" scale="47" fitToHeight="0" orientation="landscape" verticalDpi="300" r:id="rId1"/>
  <headerFooter>
    <oddHeader>&amp;R&amp;22&amp;A</oddHeader>
    <oddFooter>&amp;R&amp;22&amp;P/&amp;N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pageSetUpPr fitToPage="1"/>
  </sheetPr>
  <dimension ref="A1:O27"/>
  <sheetViews>
    <sheetView showGridLines="0" showRowColHeaders="0" zoomScale="85" zoomScaleNormal="85" workbookViewId="0">
      <pane ySplit="9" topLeftCell="A10" activePane="bottomLeft" state="frozen"/>
      <selection pane="bottomLeft" activeCell="O11" sqref="O11"/>
    </sheetView>
  </sheetViews>
  <sheetFormatPr baseColWidth="10" defaultColWidth="11.6640625" defaultRowHeight="14" x14ac:dyDescent="0.15"/>
  <cols>
    <col min="1" max="1" width="25.5" style="18" customWidth="1"/>
    <col min="2" max="2" width="32" style="18" customWidth="1"/>
    <col min="3" max="3" width="9.5" style="18" customWidth="1"/>
    <col min="4" max="4" width="14.5" style="18" customWidth="1"/>
    <col min="5" max="5" width="16" style="18" customWidth="1"/>
    <col min="6" max="6" width="11.6640625" style="18"/>
    <col min="7" max="7" width="24" style="18" customWidth="1"/>
    <col min="8" max="15" width="18.6640625" style="18" customWidth="1"/>
    <col min="16" max="16384" width="11.6640625" style="18"/>
  </cols>
  <sheetData>
    <row r="1" spans="1:15" ht="7.5" customHeight="1" x14ac:dyDescent="0.15"/>
    <row r="2" spans="1:15" ht="59.25" customHeight="1" x14ac:dyDescent="0.15">
      <c r="A2" s="263" t="s">
        <v>63</v>
      </c>
      <c r="B2" s="263"/>
      <c r="C2" s="263"/>
      <c r="D2" s="263"/>
      <c r="E2" s="263"/>
      <c r="F2" s="263"/>
      <c r="G2" s="263"/>
      <c r="H2" s="263"/>
      <c r="I2" s="263"/>
      <c r="J2" s="263"/>
      <c r="K2" s="263"/>
      <c r="L2" s="263"/>
      <c r="M2" s="263"/>
      <c r="N2" s="263"/>
      <c r="O2" s="263"/>
    </row>
    <row r="3" spans="1:15" ht="33" customHeight="1" x14ac:dyDescent="0.15">
      <c r="A3" s="271" t="s">
        <v>79</v>
      </c>
      <c r="B3" s="271"/>
      <c r="C3" s="271"/>
      <c r="D3" s="271"/>
      <c r="E3" s="271"/>
      <c r="F3" s="271"/>
      <c r="G3" s="271"/>
      <c r="H3" s="271"/>
      <c r="I3" s="271"/>
      <c r="J3" s="271"/>
      <c r="K3" s="271"/>
      <c r="L3" s="271"/>
      <c r="M3" s="271"/>
      <c r="N3" s="271"/>
      <c r="O3" s="271"/>
    </row>
    <row r="4" spans="1:15" ht="24" customHeight="1" x14ac:dyDescent="0.15">
      <c r="B4" s="92"/>
    </row>
    <row r="5" spans="1:15" ht="30" customHeight="1" x14ac:dyDescent="0.2">
      <c r="A5" s="93" t="s">
        <v>67</v>
      </c>
      <c r="B5" s="26" t="str">
        <f>projet</f>
        <v>PSI-BIOM</v>
      </c>
      <c r="C5" s="26"/>
      <c r="D5" s="26"/>
      <c r="E5" s="272" t="s">
        <v>43</v>
      </c>
      <c r="F5" s="272"/>
      <c r="G5" s="267" t="str">
        <f>beneficiaire</f>
        <v>UNIVERSITE DE TOULON</v>
      </c>
      <c r="H5" s="267"/>
      <c r="I5" s="57"/>
      <c r="J5" s="57"/>
      <c r="K5" s="25" t="s">
        <v>44</v>
      </c>
      <c r="L5" s="269" t="str">
        <f>num_convention</f>
        <v xml:space="preserve"> 2182D0406-C</v>
      </c>
      <c r="M5" s="269"/>
      <c r="N5" s="269"/>
      <c r="O5" s="269"/>
    </row>
    <row r="6" spans="1:15" ht="19.5" customHeight="1" x14ac:dyDescent="0.15">
      <c r="A6" s="259" t="str">
        <f>"  Etat d'avancement de la période du "&amp;TEXT(date_debut,"jj/mm/aaaa")&amp;" au "&amp;TEXT(date_fin,"jj/mm/aaaa")</f>
        <v xml:space="preserve">  Etat d'avancement de la période du 20/12/2021 au 20/06/2025</v>
      </c>
      <c r="B6" s="259"/>
      <c r="C6" s="259"/>
      <c r="D6" s="259"/>
      <c r="E6" s="259"/>
      <c r="F6" s="259"/>
      <c r="G6" s="259"/>
      <c r="H6" s="259"/>
      <c r="I6" s="259"/>
      <c r="J6" s="259"/>
      <c r="K6" s="259"/>
      <c r="L6" s="259"/>
      <c r="M6" s="259"/>
      <c r="N6" s="259"/>
      <c r="O6" s="259"/>
    </row>
    <row r="7" spans="1:15" ht="19.5" customHeight="1" x14ac:dyDescent="0.15">
      <c r="A7" s="259" t="str">
        <f>IF('Données initiales'!C15="Solde", 'Données initiales'!C15, +" Etape clé "&amp;num_etape)</f>
        <v>Solde</v>
      </c>
      <c r="B7" s="259"/>
      <c r="C7" s="259"/>
      <c r="D7" s="259"/>
      <c r="E7" s="259"/>
      <c r="F7" s="259"/>
      <c r="G7" s="259"/>
      <c r="H7" s="259"/>
      <c r="I7" s="259"/>
      <c r="J7" s="259"/>
      <c r="K7" s="259"/>
      <c r="L7" s="259"/>
      <c r="M7" s="259"/>
      <c r="N7" s="259"/>
      <c r="O7" s="259"/>
    </row>
    <row r="8" spans="1:15" ht="19.5" customHeight="1" x14ac:dyDescent="0.15">
      <c r="A8" s="270" t="s">
        <v>55</v>
      </c>
      <c r="B8" s="270"/>
      <c r="C8" s="270"/>
      <c r="D8" s="270"/>
      <c r="E8" s="270"/>
      <c r="F8" s="270"/>
      <c r="G8" s="270"/>
      <c r="H8" s="270"/>
      <c r="I8" s="270"/>
      <c r="J8" s="270"/>
      <c r="K8" s="270"/>
      <c r="L8" s="270"/>
      <c r="M8" s="270"/>
      <c r="N8" s="270"/>
      <c r="O8" s="270"/>
    </row>
    <row r="9" spans="1:15" ht="45" x14ac:dyDescent="0.15">
      <c r="A9" s="59" t="s">
        <v>80</v>
      </c>
      <c r="B9" s="60" t="s">
        <v>81</v>
      </c>
      <c r="C9" s="61" t="s">
        <v>82</v>
      </c>
      <c r="D9" s="94" t="s">
        <v>83</v>
      </c>
      <c r="E9" s="95" t="s">
        <v>84</v>
      </c>
      <c r="F9" s="95" t="s">
        <v>85</v>
      </c>
      <c r="G9" s="96" t="s">
        <v>86</v>
      </c>
      <c r="H9" s="97" t="s">
        <v>77</v>
      </c>
      <c r="I9" s="63" t="s">
        <v>47</v>
      </c>
      <c r="J9" s="60" t="s">
        <v>48</v>
      </c>
      <c r="K9" s="60" t="s">
        <v>49</v>
      </c>
      <c r="L9" s="61" t="s">
        <v>50</v>
      </c>
      <c r="M9" s="61" t="s">
        <v>51</v>
      </c>
      <c r="N9" s="61" t="s">
        <v>52</v>
      </c>
      <c r="O9" s="64" t="s">
        <v>53</v>
      </c>
    </row>
    <row r="10" spans="1:15" x14ac:dyDescent="0.15">
      <c r="A10" s="65"/>
      <c r="B10" s="98"/>
      <c r="C10" s="99"/>
      <c r="D10" s="100"/>
      <c r="E10" s="66"/>
      <c r="F10" s="67"/>
      <c r="G10" s="99"/>
      <c r="H10" s="69"/>
      <c r="I10" s="70"/>
      <c r="J10" s="71"/>
      <c r="K10" s="71"/>
      <c r="L10" s="68"/>
      <c r="M10" s="68"/>
      <c r="N10" s="68"/>
      <c r="O10" s="72">
        <f>IF(OR(Tableau_SousTraitance[[#This Row],[RF]]&lt;&gt;"",Tableau_SousTraitance[[#This Row],[RI]]&lt;&gt;"",Tableau_SousTraitance[[#This Row],[DE]]&lt;&gt;"",Tableau_SousTraitance[[#This Row],[PE]]&lt;&gt;"",Tableau_SousTraitance[[#This Row],[RD]]&lt;&gt;""),Tableau_SousTraitance[[#This Row],[RF]]+Tableau_SousTraitance[[#This Row],[RI]]+Tableau_SousTraitance[[#This Row],[DE]]+Tableau_SousTraitance[[#This Row],[PE]]+Tableau_SousTraitance[[#This Row],[RD]],0)</f>
        <v>0</v>
      </c>
    </row>
    <row r="11" spans="1:15" ht="17.75" customHeight="1" x14ac:dyDescent="0.15">
      <c r="A11" s="65"/>
      <c r="B11" s="98"/>
      <c r="C11" s="99"/>
      <c r="D11" s="101"/>
      <c r="E11" s="102"/>
      <c r="F11" s="103"/>
      <c r="G11" s="104"/>
      <c r="H11" s="69"/>
      <c r="I11" s="70"/>
      <c r="J11" s="71"/>
      <c r="K11" s="71"/>
      <c r="L11" s="68"/>
      <c r="M11" s="68"/>
      <c r="N11" s="68"/>
      <c r="O11" s="72">
        <f>IF(OR(Tableau_SousTraitance[[#This Row],[RF]]&lt;&gt;"",Tableau_SousTraitance[[#This Row],[RI]]&lt;&gt;"",Tableau_SousTraitance[[#This Row],[DE]]&lt;&gt;"",Tableau_SousTraitance[[#This Row],[PE]]&lt;&gt;"",Tableau_SousTraitance[[#This Row],[RD]]&lt;&gt;""),Tableau_SousTraitance[[#This Row],[RF]]+Tableau_SousTraitance[[#This Row],[RI]]+Tableau_SousTraitance[[#This Row],[DE]]+Tableau_SousTraitance[[#This Row],[PE]]+Tableau_SousTraitance[[#This Row],[RD]],0)</f>
        <v>0</v>
      </c>
    </row>
    <row r="12" spans="1:15" ht="17.75" customHeight="1" x14ac:dyDescent="0.15">
      <c r="A12" s="65"/>
      <c r="B12" s="179" t="s">
        <v>120</v>
      </c>
      <c r="C12" s="99"/>
      <c r="D12" s="101"/>
      <c r="E12" s="102"/>
      <c r="F12" s="103"/>
      <c r="G12" s="104"/>
      <c r="H12" s="69"/>
      <c r="I12" s="70"/>
      <c r="J12" s="71"/>
      <c r="K12" s="71"/>
      <c r="L12" s="68"/>
      <c r="M12" s="68"/>
      <c r="N12" s="68"/>
      <c r="O12" s="72">
        <f>IF(OR(Tableau_SousTraitance[[#This Row],[RF]]&lt;&gt;"",Tableau_SousTraitance[[#This Row],[RI]]&lt;&gt;"",Tableau_SousTraitance[[#This Row],[DE]]&lt;&gt;"",Tableau_SousTraitance[[#This Row],[PE]]&lt;&gt;"",Tableau_SousTraitance[[#This Row],[RD]]&lt;&gt;""),Tableau_SousTraitance[[#This Row],[RF]]+Tableau_SousTraitance[[#This Row],[RI]]+Tableau_SousTraitance[[#This Row],[DE]]+Tableau_SousTraitance[[#This Row],[PE]]+Tableau_SousTraitance[[#This Row],[RD]],0)</f>
        <v>0</v>
      </c>
    </row>
    <row r="13" spans="1:15" ht="17.75" customHeight="1" x14ac:dyDescent="0.15">
      <c r="A13" s="65"/>
      <c r="B13" s="98"/>
      <c r="C13" s="99"/>
      <c r="D13" s="101"/>
      <c r="E13" s="102"/>
      <c r="F13" s="103"/>
      <c r="G13" s="99"/>
      <c r="H13" s="69"/>
      <c r="I13" s="70"/>
      <c r="J13" s="71"/>
      <c r="K13" s="71"/>
      <c r="L13" s="68"/>
      <c r="M13" s="68"/>
      <c r="N13" s="68"/>
      <c r="O13" s="105">
        <f>IF(OR(Tableau_SousTraitance[[#This Row],[RF]]&lt;&gt;"",Tableau_SousTraitance[[#This Row],[RI]]&lt;&gt;"",Tableau_SousTraitance[[#This Row],[DE]]&lt;&gt;"",Tableau_SousTraitance[[#This Row],[PE]]&lt;&gt;"",Tableau_SousTraitance[[#This Row],[RD]]&lt;&gt;""),Tableau_SousTraitance[[#This Row],[RF]]+Tableau_SousTraitance[[#This Row],[RI]]+Tableau_SousTraitance[[#This Row],[DE]]+Tableau_SousTraitance[[#This Row],[PE]]+Tableau_SousTraitance[[#This Row],[RD]],0)</f>
        <v>0</v>
      </c>
    </row>
    <row r="14" spans="1:15" ht="17.75" customHeight="1" x14ac:dyDescent="0.15">
      <c r="A14" s="106"/>
      <c r="B14" s="98"/>
      <c r="C14" s="99"/>
      <c r="D14" s="100"/>
      <c r="E14" s="66"/>
      <c r="F14" s="67"/>
      <c r="G14" s="99"/>
      <c r="H14" s="69"/>
      <c r="I14" s="70"/>
      <c r="J14" s="71"/>
      <c r="K14" s="71"/>
      <c r="L14" s="68"/>
      <c r="M14" s="68"/>
      <c r="N14" s="68"/>
      <c r="O14" s="72">
        <f>IF(OR(Tableau_SousTraitance[[#This Row],[RF]]&lt;&gt;"",Tableau_SousTraitance[[#This Row],[RI]]&lt;&gt;"",Tableau_SousTraitance[[#This Row],[DE]]&lt;&gt;"",Tableau_SousTraitance[[#This Row],[PE]]&lt;&gt;"",Tableau_SousTraitance[[#This Row],[RD]]&lt;&gt;""),Tableau_SousTraitance[[#This Row],[RF]]+Tableau_SousTraitance[[#This Row],[RI]]+Tableau_SousTraitance[[#This Row],[DE]]+Tableau_SousTraitance[[#This Row],[PE]]+Tableau_SousTraitance[[#This Row],[RD]],0)</f>
        <v>0</v>
      </c>
    </row>
    <row r="15" spans="1:15" ht="17.75" customHeight="1" x14ac:dyDescent="0.15">
      <c r="A15" s="107"/>
      <c r="B15" s="108"/>
      <c r="C15" s="109"/>
      <c r="D15" s="110"/>
      <c r="E15" s="111"/>
      <c r="F15" s="112"/>
      <c r="G15" s="109"/>
      <c r="H15" s="113"/>
      <c r="I15" s="114"/>
      <c r="J15" s="115"/>
      <c r="K15" s="115"/>
      <c r="L15" s="116"/>
      <c r="M15" s="116"/>
      <c r="N15" s="116"/>
      <c r="O15" s="117">
        <f>IF(OR(Tableau_SousTraitance[[#This Row],[RF]]&lt;&gt;"",Tableau_SousTraitance[[#This Row],[RI]]&lt;&gt;"",Tableau_SousTraitance[[#This Row],[DE]]&lt;&gt;"",Tableau_SousTraitance[[#This Row],[PE]]&lt;&gt;"",Tableau_SousTraitance[[#This Row],[RD]]&lt;&gt;""),Tableau_SousTraitance[[#This Row],[RF]]+Tableau_SousTraitance[[#This Row],[RI]]+Tableau_SousTraitance[[#This Row],[DE]]+Tableau_SousTraitance[[#This Row],[PE]]+Tableau_SousTraitance[[#This Row],[RD]],0)</f>
        <v>0</v>
      </c>
    </row>
    <row r="16" spans="1:15" ht="22.5" customHeight="1" x14ac:dyDescent="0.15">
      <c r="A16" s="84" t="s">
        <v>87</v>
      </c>
      <c r="B16" s="85"/>
      <c r="C16" s="85"/>
      <c r="D16" s="85"/>
      <c r="E16" s="85"/>
      <c r="F16" s="85"/>
      <c r="G16" s="118"/>
      <c r="H16" s="86">
        <f>SUBTOTAL(109,Tableau_SousTraitance[Montant total de l''opération en €])</f>
        <v>0</v>
      </c>
      <c r="I16" s="119">
        <f>SUBTOTAL(109,Tableau_SousTraitance[Non éligible])</f>
        <v>0</v>
      </c>
      <c r="J16" s="120">
        <f>SUBTOTAL(109,Tableau_SousTraitance[RF])</f>
        <v>0</v>
      </c>
      <c r="K16" s="120">
        <f>SUBTOTAL(109,Tableau_SousTraitance[RI])</f>
        <v>0</v>
      </c>
      <c r="L16" s="121">
        <f>SUBTOTAL(109,Tableau_SousTraitance[DE])</f>
        <v>0</v>
      </c>
      <c r="M16" s="121">
        <f>SUBTOTAL(109,Tableau_SousTraitance[PE])</f>
        <v>0</v>
      </c>
      <c r="N16" s="121">
        <f>SUBTOTAL(109,Tableau_SousTraitance[RD])</f>
        <v>0</v>
      </c>
      <c r="O16" s="90" t="e">
        <f>SUBTOTAL(109,Tableau_SousTraitance #REF! )</f>
        <v>#NAME?</v>
      </c>
    </row>
    <row r="17" spans="1:15" ht="35.25" customHeight="1" x14ac:dyDescent="0.15">
      <c r="A17" s="20"/>
      <c r="O17" s="21"/>
    </row>
    <row r="18" spans="1:15" x14ac:dyDescent="0.15">
      <c r="A18" s="262" t="str">
        <f>"Je soussigné "&amp;nom&amp;" "&amp;prenom&amp;", "&amp;fonction&amp;CONCATENATE(", certifie que les autres couts ci-dessus sont imputables à la réalisation du projet : ")&amp;projet</f>
        <v>Je soussigné Pour le Président et par délégation TIXIDOR Stéphanie, Directrice de la Direction des Finances et des Achats, certifie que les autres couts ci-dessus sont imputables à la réalisation du projet : PSI-BIOM</v>
      </c>
      <c r="B18" s="262"/>
      <c r="C18" s="262"/>
      <c r="D18" s="262"/>
      <c r="E18" s="262"/>
      <c r="F18" s="262"/>
      <c r="G18" s="262"/>
      <c r="H18" s="262"/>
      <c r="I18" s="262"/>
      <c r="J18" s="262"/>
      <c r="K18" s="262"/>
      <c r="L18" s="262"/>
      <c r="M18" s="262"/>
      <c r="N18" s="262"/>
      <c r="O18" s="262"/>
    </row>
    <row r="19" spans="1:15" x14ac:dyDescent="0.15">
      <c r="A19" s="20"/>
      <c r="O19" s="21"/>
    </row>
    <row r="20" spans="1:15" ht="16" x14ac:dyDescent="0.2">
      <c r="A20" s="20"/>
      <c r="J20" s="46" t="s">
        <v>60</v>
      </c>
      <c r="K20" s="48">
        <f>+'Données initiales'!C7</f>
        <v>198307662</v>
      </c>
      <c r="O20" s="21"/>
    </row>
    <row r="21" spans="1:15" ht="16" x14ac:dyDescent="0.2">
      <c r="A21" s="20"/>
      <c r="J21" s="46" t="s">
        <v>61</v>
      </c>
      <c r="K21" s="50">
        <f>'Synthèse ERD'!G23</f>
        <v>45845</v>
      </c>
      <c r="O21" s="21"/>
    </row>
    <row r="22" spans="1:15" ht="18.75" customHeight="1" x14ac:dyDescent="0.2">
      <c r="A22" s="20"/>
      <c r="J22" s="46" t="s">
        <v>62</v>
      </c>
      <c r="K22" s="52"/>
      <c r="O22" s="21"/>
    </row>
    <row r="23" spans="1:15" ht="17" x14ac:dyDescent="0.2">
      <c r="A23" s="20"/>
      <c r="K23" s="91"/>
      <c r="L23" s="91"/>
      <c r="M23" s="91"/>
      <c r="N23" s="91"/>
      <c r="O23" s="21"/>
    </row>
    <row r="24" spans="1:15" x14ac:dyDescent="0.15">
      <c r="A24" s="20"/>
      <c r="O24" s="21"/>
    </row>
    <row r="25" spans="1:15" x14ac:dyDescent="0.15">
      <c r="A25" s="20"/>
      <c r="O25" s="21"/>
    </row>
    <row r="26" spans="1:15" x14ac:dyDescent="0.15">
      <c r="A26" s="20" t="s">
        <v>88</v>
      </c>
      <c r="O26" s="21"/>
    </row>
    <row r="27" spans="1:15" x14ac:dyDescent="0.15">
      <c r="A27" s="53" t="s">
        <v>89</v>
      </c>
      <c r="B27" s="54"/>
      <c r="C27" s="54"/>
      <c r="D27" s="54"/>
      <c r="E27" s="54"/>
      <c r="F27" s="54"/>
      <c r="G27" s="54"/>
      <c r="H27" s="54"/>
      <c r="I27" s="54"/>
      <c r="J27" s="54"/>
      <c r="K27" s="54"/>
      <c r="L27" s="54"/>
      <c r="M27" s="54"/>
      <c r="N27" s="54"/>
      <c r="O27" s="55"/>
    </row>
  </sheetData>
  <mergeCells count="9">
    <mergeCell ref="A6:O6"/>
    <mergeCell ref="A7:O7"/>
    <mergeCell ref="A8:O8"/>
    <mergeCell ref="A18:O18"/>
    <mergeCell ref="A2:O2"/>
    <mergeCell ref="A3:O3"/>
    <mergeCell ref="E5:F5"/>
    <mergeCell ref="G5:H5"/>
    <mergeCell ref="L5:O5"/>
  </mergeCells>
  <conditionalFormatting sqref="H10:H15">
    <cfRule type="expression" dxfId="6" priority="2">
      <formula>AND(H10&lt;&gt;"",H10&lt;&gt;(I10+O10))</formula>
    </cfRule>
  </conditionalFormatting>
  <dataValidations count="5">
    <dataValidation allowBlank="1" showInputMessage="1" showErrorMessage="1" prompt="Merci de reprendre les tâches ou lots décrits dans l'annexe financière" sqref="C10:C15" xr:uid="{00000000-0002-0000-0400-000000000000}">
      <formula1>0</formula1>
      <formula2>0</formula2>
    </dataValidation>
    <dataValidation allowBlank="1" showInputMessage="1" showErrorMessage="1" promptTitle="TVA" prompt="Si non assujetti à la TVA alors le montant à inscrire est TTC _x000a_Si assujetti à la TVA alors le montant à inscrire est Hors Taxe (HT)" sqref="H10:H15" xr:uid="{00000000-0002-0000-0400-000001000000}">
      <formula1>0</formula1>
      <formula2>0</formula2>
    </dataValidation>
    <dataValidation type="date" allowBlank="1" showInputMessage="1" showErrorMessage="1" errorTitle="Période de référence" error="Format : jj/mm/aaaa_x000a__x000a_La date doit être entre à la date de début et de fin de la période de référence. " promptTitle="Format" prompt="Merci de saisir une date au format jj/mm/aaaa dans la période de référence" sqref="F10:F15" xr:uid="{00000000-0002-0000-0400-000002000000}">
      <formula1>date_debut</formula1>
      <formula2>date_fin</formula2>
    </dataValidation>
    <dataValidation type="list" allowBlank="1" showInputMessage="1" showErrorMessage="1" prompt="Afin d'être éligible, la dépense doit obligatoirement être acquitée" sqref="G10:G15" xr:uid="{00000000-0002-0000-0400-000003000000}">
      <formula1>"Oui,Non"</formula1>
      <formula2>0</formula2>
    </dataValidation>
    <dataValidation allowBlank="1" showInputMessage="1" showErrorMessage="1" prompt="Merci de reprendre les tâches ou lots notifiés dans l'annexe financière" sqref="B12" xr:uid="{00000000-0002-0000-0400-000004000000}">
      <formula1>0</formula1>
      <formula2>0</formula2>
    </dataValidation>
  </dataValidations>
  <pageMargins left="0.31527777777777799" right="0.31527777777777799" top="0.74861111111111101" bottom="0.55138888888888904" header="0.31527777777777799" footer="0.31527777777777799"/>
  <pageSetup paperSize="9" scale="49" fitToHeight="0" orientation="landscape" verticalDpi="300" r:id="rId1"/>
  <headerFooter>
    <oddHeader>&amp;R&amp;22&amp;A</oddHeader>
    <oddFooter>&amp;R&amp;22&amp;P/&amp;N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P27"/>
  <sheetViews>
    <sheetView showGridLines="0" showRowColHeaders="0" topLeftCell="F1" zoomScale="85" zoomScaleNormal="85" workbookViewId="0">
      <pane ySplit="9" topLeftCell="A14" activePane="bottomLeft" state="frozen"/>
      <selection pane="bottomLeft" activeCell="P14" sqref="P14"/>
    </sheetView>
  </sheetViews>
  <sheetFormatPr baseColWidth="10" defaultColWidth="11.6640625" defaultRowHeight="14" x14ac:dyDescent="0.15"/>
  <cols>
    <col min="1" max="1" width="24.6640625" style="18" customWidth="1"/>
    <col min="2" max="2" width="32.33203125" style="18" customWidth="1"/>
    <col min="3" max="3" width="10.5" style="18" customWidth="1"/>
    <col min="4" max="4" width="21.5" style="18" customWidth="1"/>
    <col min="5" max="5" width="12.5" style="18" customWidth="1"/>
    <col min="6" max="7" width="11.6640625" style="18"/>
    <col min="8" max="8" width="13.6640625" style="18" customWidth="1"/>
    <col min="9" max="9" width="18" style="18" customWidth="1"/>
    <col min="10" max="15" width="14.5" style="18" customWidth="1"/>
    <col min="16" max="16" width="15.5" style="18" customWidth="1"/>
    <col min="17" max="16384" width="11.6640625" style="18"/>
  </cols>
  <sheetData>
    <row r="1" spans="1:16" ht="3" customHeight="1" x14ac:dyDescent="0.15"/>
    <row r="2" spans="1:16" ht="59.25" customHeight="1" x14ac:dyDescent="0.15">
      <c r="A2" s="263" t="s">
        <v>90</v>
      </c>
      <c r="B2" s="263"/>
      <c r="C2" s="263"/>
      <c r="D2" s="263"/>
      <c r="E2" s="263"/>
      <c r="F2" s="263"/>
      <c r="G2" s="263"/>
      <c r="H2" s="263"/>
      <c r="I2" s="263"/>
      <c r="J2" s="263"/>
      <c r="K2" s="263"/>
      <c r="L2" s="263"/>
      <c r="M2" s="263"/>
      <c r="N2" s="263"/>
      <c r="O2" s="263"/>
      <c r="P2" s="263"/>
    </row>
    <row r="3" spans="1:16" ht="66" customHeight="1" x14ac:dyDescent="0.15">
      <c r="A3" s="271" t="s">
        <v>91</v>
      </c>
      <c r="B3" s="271"/>
      <c r="C3" s="271"/>
      <c r="D3" s="271"/>
      <c r="E3" s="271"/>
      <c r="F3" s="271"/>
      <c r="G3" s="271"/>
      <c r="H3" s="271"/>
      <c r="I3" s="271"/>
      <c r="J3" s="271"/>
      <c r="K3" s="271"/>
      <c r="L3" s="271"/>
      <c r="M3" s="271"/>
      <c r="N3" s="271"/>
      <c r="O3" s="271"/>
      <c r="P3" s="271"/>
    </row>
    <row r="4" spans="1:16" s="122" customFormat="1" x14ac:dyDescent="0.2">
      <c r="B4" s="123"/>
    </row>
    <row r="5" spans="1:16" ht="30" customHeight="1" x14ac:dyDescent="0.15">
      <c r="A5" s="93" t="s">
        <v>67</v>
      </c>
      <c r="B5" s="267" t="str">
        <f>projet</f>
        <v>PSI-BIOM</v>
      </c>
      <c r="C5" s="267"/>
      <c r="D5" s="124"/>
      <c r="E5" s="268" t="s">
        <v>43</v>
      </c>
      <c r="F5" s="268"/>
      <c r="G5" s="267" t="str">
        <f>'Données initiales'!C6</f>
        <v>UNIVERSITE DE TOULON</v>
      </c>
      <c r="H5" s="267"/>
      <c r="I5" s="267"/>
      <c r="J5" s="124"/>
      <c r="K5" s="124"/>
      <c r="L5" s="25" t="s">
        <v>44</v>
      </c>
      <c r="M5" s="269" t="str">
        <f>num_convention</f>
        <v xml:space="preserve"> 2182D0406-C</v>
      </c>
      <c r="N5" s="269"/>
      <c r="O5" s="269"/>
      <c r="P5" s="269"/>
    </row>
    <row r="6" spans="1:16" ht="19.5" customHeight="1" x14ac:dyDescent="0.15">
      <c r="A6" s="259" t="str">
        <f>"  Etat d'avancement de la période du "&amp;TEXT(date_debut,"jj/mm/aaaa")&amp;" au "&amp;TEXT(date_fin,"jj/mm/aaaa")</f>
        <v xml:space="preserve">  Etat d'avancement de la période du 20/12/2021 au 20/06/2025</v>
      </c>
      <c r="B6" s="259"/>
      <c r="C6" s="259"/>
      <c r="D6" s="259"/>
      <c r="E6" s="259"/>
      <c r="F6" s="259"/>
      <c r="G6" s="259"/>
      <c r="H6" s="259"/>
      <c r="I6" s="259"/>
      <c r="J6" s="259"/>
      <c r="K6" s="259"/>
      <c r="L6" s="259"/>
      <c r="M6" s="259"/>
      <c r="N6" s="259"/>
      <c r="O6" s="259"/>
      <c r="P6" s="259"/>
    </row>
    <row r="7" spans="1:16" ht="19.5" customHeight="1" x14ac:dyDescent="0.15">
      <c r="A7" s="259" t="str">
        <f>IF('Données initiales'!C15="Solde", 'Données initiales'!C15, +" Etape clé "&amp;num_etape)</f>
        <v>Solde</v>
      </c>
      <c r="B7" s="259"/>
      <c r="C7" s="259"/>
      <c r="D7" s="259"/>
      <c r="E7" s="259"/>
      <c r="F7" s="259"/>
      <c r="G7" s="259"/>
      <c r="H7" s="259"/>
      <c r="I7" s="259"/>
      <c r="J7" s="259"/>
      <c r="K7" s="259"/>
      <c r="L7" s="259"/>
      <c r="M7" s="259"/>
      <c r="N7" s="259"/>
      <c r="O7" s="259"/>
      <c r="P7" s="259"/>
    </row>
    <row r="8" spans="1:16" ht="19.5" customHeight="1" x14ac:dyDescent="0.15">
      <c r="A8" s="270" t="s">
        <v>56</v>
      </c>
      <c r="B8" s="270"/>
      <c r="C8" s="270"/>
      <c r="D8" s="270"/>
      <c r="E8" s="270"/>
      <c r="F8" s="270"/>
      <c r="G8" s="270"/>
      <c r="H8" s="270"/>
      <c r="I8" s="270"/>
      <c r="J8" s="270"/>
      <c r="K8" s="270"/>
      <c r="L8" s="270"/>
      <c r="M8" s="270"/>
      <c r="N8" s="270"/>
      <c r="O8" s="270"/>
      <c r="P8" s="270"/>
    </row>
    <row r="9" spans="1:16" ht="38.25" customHeight="1" x14ac:dyDescent="0.15">
      <c r="A9" s="59" t="s">
        <v>92</v>
      </c>
      <c r="B9" s="60" t="s">
        <v>81</v>
      </c>
      <c r="C9" s="60" t="s">
        <v>82</v>
      </c>
      <c r="D9" s="60" t="s">
        <v>93</v>
      </c>
      <c r="E9" s="60" t="s">
        <v>94</v>
      </c>
      <c r="F9" s="60" t="s">
        <v>74</v>
      </c>
      <c r="G9" s="60" t="s">
        <v>75</v>
      </c>
      <c r="H9" s="61" t="s">
        <v>95</v>
      </c>
      <c r="I9" s="97" t="s">
        <v>77</v>
      </c>
      <c r="J9" s="63" t="s">
        <v>47</v>
      </c>
      <c r="K9" s="60" t="s">
        <v>48</v>
      </c>
      <c r="L9" s="60" t="s">
        <v>49</v>
      </c>
      <c r="M9" s="61" t="s">
        <v>50</v>
      </c>
      <c r="N9" s="61" t="s">
        <v>51</v>
      </c>
      <c r="O9" s="61" t="s">
        <v>52</v>
      </c>
      <c r="P9" s="125" t="s">
        <v>53</v>
      </c>
    </row>
    <row r="10" spans="1:16" ht="17.75" customHeight="1" x14ac:dyDescent="0.15">
      <c r="A10" s="65"/>
      <c r="B10" s="66"/>
      <c r="C10" s="66"/>
      <c r="D10" s="66"/>
      <c r="E10" s="67"/>
      <c r="F10" s="66"/>
      <c r="G10" s="66"/>
      <c r="H10" s="68"/>
      <c r="I10" s="69">
        <f>IF(Tableau_Refacturation[[#This Row],[Coût unitaire]]&lt;&gt;"",ROUND(Tableau_Refacturation[[#This Row],[Nombre d''unité]]*Tableau_Refacturation[[#This Row],[Coût unitaire]],2),0)</f>
        <v>0</v>
      </c>
      <c r="J10" s="70"/>
      <c r="K10" s="71"/>
      <c r="L10" s="71"/>
      <c r="M10" s="68"/>
      <c r="N10" s="68"/>
      <c r="O10" s="68"/>
      <c r="P10" s="72">
        <f>IF(OR(Tableau_Refacturation[[#This Row],[RF]]&lt;&gt;"",Tableau_Refacturation[[#This Row],[RI]]&lt;&gt;"",Tableau_Refacturation[[#This Row],[DE]]&lt;&gt;"",Tableau_Refacturation[[#This Row],[PE]]&lt;&gt;"",Tableau_Refacturation[[#This Row],[RD]]&lt;&gt;""),Tableau_Refacturation[[#This Row],[RF]]+Tableau_Refacturation[[#This Row],[RI]]+Tableau_Refacturation[[#This Row],[DE]]+Tableau_Refacturation[[#This Row],[PE]]+Tableau_Refacturation[[#This Row],[RD]],0)</f>
        <v>0</v>
      </c>
    </row>
    <row r="11" spans="1:16" ht="17.75" customHeight="1" x14ac:dyDescent="0.15">
      <c r="A11" s="65"/>
      <c r="B11" s="66"/>
      <c r="C11" s="66"/>
      <c r="D11" s="67"/>
      <c r="E11" s="67"/>
      <c r="F11" s="66"/>
      <c r="G11" s="66"/>
      <c r="H11" s="71"/>
      <c r="I11" s="126">
        <f>IF(Tableau_Refacturation[[#This Row],[Coût unitaire]]&lt;&gt;"",ROUND(Tableau_Refacturation[[#This Row],[Nombre d''unité]]*Tableau_Refacturation[[#This Row],[Coût unitaire]],2),0)</f>
        <v>0</v>
      </c>
      <c r="J11" s="71"/>
      <c r="K11" s="71"/>
      <c r="L11" s="71"/>
      <c r="M11" s="71"/>
      <c r="N11" s="71"/>
      <c r="O11" s="71"/>
      <c r="P11" s="105">
        <f>IF(OR(Tableau_Refacturation[[#This Row],[RF]]&lt;&gt;"",Tableau_Refacturation[[#This Row],[RI]]&lt;&gt;"",Tableau_Refacturation[[#This Row],[DE]]&lt;&gt;"",Tableau_Refacturation[[#This Row],[PE]]&lt;&gt;"",Tableau_Refacturation[[#This Row],[RD]]&lt;&gt;""),Tableau_Refacturation[[#This Row],[RF]]+Tableau_Refacturation[[#This Row],[RI]]+Tableau_Refacturation[[#This Row],[DE]]+Tableau_Refacturation[[#This Row],[PE]]+Tableau_Refacturation[[#This Row],[RD]],0)</f>
        <v>0</v>
      </c>
    </row>
    <row r="12" spans="1:16" ht="17.75" customHeight="1" x14ac:dyDescent="0.15">
      <c r="A12" s="65"/>
      <c r="B12" s="179" t="s">
        <v>120</v>
      </c>
      <c r="C12" s="66"/>
      <c r="D12" s="67"/>
      <c r="E12" s="67"/>
      <c r="F12" s="66"/>
      <c r="G12" s="66"/>
      <c r="H12" s="71"/>
      <c r="I12" s="126">
        <f>IF(Tableau_Refacturation[[#This Row],[Coût unitaire]]&lt;&gt;"",ROUND(Tableau_Refacturation[[#This Row],[Nombre d''unité]]*Tableau_Refacturation[[#This Row],[Coût unitaire]],2),0)</f>
        <v>0</v>
      </c>
      <c r="J12" s="71"/>
      <c r="K12" s="71"/>
      <c r="L12" s="71"/>
      <c r="M12" s="71"/>
      <c r="N12" s="71"/>
      <c r="O12" s="71"/>
      <c r="P12" s="105">
        <f>IF(OR(Tableau_Refacturation[[#This Row],[RF]]&lt;&gt;"",Tableau_Refacturation[[#This Row],[RI]]&lt;&gt;"",Tableau_Refacturation[[#This Row],[DE]]&lt;&gt;"",Tableau_Refacturation[[#This Row],[PE]]&lt;&gt;"",Tableau_Refacturation[[#This Row],[RD]]&lt;&gt;""),Tableau_Refacturation[[#This Row],[RF]]+Tableau_Refacturation[[#This Row],[RI]]+Tableau_Refacturation[[#This Row],[DE]]+Tableau_Refacturation[[#This Row],[PE]]+Tableau_Refacturation[[#This Row],[RD]],0)</f>
        <v>0</v>
      </c>
    </row>
    <row r="13" spans="1:16" ht="17.75" customHeight="1" x14ac:dyDescent="0.15">
      <c r="A13" s="65"/>
      <c r="B13" s="66"/>
      <c r="C13" s="66"/>
      <c r="D13" s="67"/>
      <c r="E13" s="67"/>
      <c r="F13" s="66"/>
      <c r="G13" s="66"/>
      <c r="H13" s="71"/>
      <c r="I13" s="126">
        <f>IF(Tableau_Refacturation[[#This Row],[Coût unitaire]]&lt;&gt;"",ROUND(Tableau_Refacturation[[#This Row],[Nombre d''unité]]*Tableau_Refacturation[[#This Row],[Coût unitaire]],2),0)</f>
        <v>0</v>
      </c>
      <c r="J13" s="71"/>
      <c r="K13" s="71"/>
      <c r="L13" s="71"/>
      <c r="M13" s="71"/>
      <c r="N13" s="71"/>
      <c r="O13" s="71"/>
      <c r="P13" s="105">
        <f>IF(OR(Tableau_Refacturation[[#This Row],[RF]]&lt;&gt;"",Tableau_Refacturation[[#This Row],[RI]]&lt;&gt;"",Tableau_Refacturation[[#This Row],[DE]]&lt;&gt;"",Tableau_Refacturation[[#This Row],[PE]]&lt;&gt;"",Tableau_Refacturation[[#This Row],[RD]]&lt;&gt;""),Tableau_Refacturation[[#This Row],[RF]]+Tableau_Refacturation[[#This Row],[RI]]+Tableau_Refacturation[[#This Row],[DE]]+Tableau_Refacturation[[#This Row],[PE]]+Tableau_Refacturation[[#This Row],[RD]],0)</f>
        <v>0</v>
      </c>
    </row>
    <row r="14" spans="1:16" ht="17.75" customHeight="1" x14ac:dyDescent="0.15">
      <c r="A14" s="65"/>
      <c r="B14" s="179" t="s">
        <v>120</v>
      </c>
      <c r="C14" s="66"/>
      <c r="D14" s="67"/>
      <c r="E14" s="67"/>
      <c r="F14" s="66"/>
      <c r="G14" s="66"/>
      <c r="H14" s="71"/>
      <c r="I14" s="126">
        <f>IF(Tableau_Refacturation[[#This Row],[Coût unitaire]]&lt;&gt;"",ROUND(Tableau_Refacturation[[#This Row],[Nombre d''unité]]*Tableau_Refacturation[[#This Row],[Coût unitaire]],2),0)</f>
        <v>0</v>
      </c>
      <c r="J14" s="71"/>
      <c r="K14" s="71"/>
      <c r="L14" s="71"/>
      <c r="M14" s="71"/>
      <c r="N14" s="71"/>
      <c r="O14" s="71"/>
      <c r="P14" s="105">
        <f>IF(OR(Tableau_Refacturation[[#This Row],[RF]]&lt;&gt;"",Tableau_Refacturation[[#This Row],[RI]]&lt;&gt;"",Tableau_Refacturation[[#This Row],[DE]]&lt;&gt;"",Tableau_Refacturation[[#This Row],[PE]]&lt;&gt;"",Tableau_Refacturation[[#This Row],[RD]]&lt;&gt;""),Tableau_Refacturation[[#This Row],[RF]]+Tableau_Refacturation[[#This Row],[RI]]+Tableau_Refacturation[[#This Row],[DE]]+Tableau_Refacturation[[#This Row],[PE]]+Tableau_Refacturation[[#This Row],[RD]],0)</f>
        <v>0</v>
      </c>
    </row>
    <row r="15" spans="1:16" ht="17.75" customHeight="1" x14ac:dyDescent="0.15">
      <c r="A15" s="127"/>
      <c r="B15" s="80"/>
      <c r="C15" s="80"/>
      <c r="D15" s="80"/>
      <c r="E15" s="81"/>
      <c r="F15" s="80"/>
      <c r="G15" s="80"/>
      <c r="H15" s="77"/>
      <c r="I15" s="83">
        <f>IF(Tableau_Refacturation[[#This Row],[Coût unitaire]]&lt;&gt;"",ROUND(Tableau_Refacturation[[#This Row],[Nombre d''unité]]*Tableau_Refacturation[[#This Row],[Coût unitaire]],2),0)</f>
        <v>0</v>
      </c>
      <c r="J15" s="75"/>
      <c r="K15" s="76"/>
      <c r="L15" s="76"/>
      <c r="M15" s="77"/>
      <c r="N15" s="77"/>
      <c r="O15" s="77"/>
      <c r="P15" s="78">
        <f>IF(OR(Tableau_Refacturation[[#This Row],[RF]]&lt;&gt;"",Tableau_Refacturation[[#This Row],[RI]]&lt;&gt;"",Tableau_Refacturation[[#This Row],[DE]]&lt;&gt;"",Tableau_Refacturation[[#This Row],[PE]]&lt;&gt;"",Tableau_Refacturation[[#This Row],[RD]]&lt;&gt;""),Tableau_Refacturation[[#This Row],[RF]]+Tableau_Refacturation[[#This Row],[RI]]+Tableau_Refacturation[[#This Row],[DE]]+Tableau_Refacturation[[#This Row],[PE]]+Tableau_Refacturation[[#This Row],[RD]],0)</f>
        <v>0</v>
      </c>
    </row>
    <row r="16" spans="1:16" ht="24" customHeight="1" x14ac:dyDescent="0.15">
      <c r="A16" s="128" t="s">
        <v>96</v>
      </c>
      <c r="B16" s="129"/>
      <c r="C16" s="129"/>
      <c r="D16" s="129"/>
      <c r="E16" s="129"/>
      <c r="F16" s="129"/>
      <c r="G16" s="129"/>
      <c r="H16" s="130"/>
      <c r="I16" s="131">
        <f>SUBTOTAL(109,Tableau_Refacturation[Montant total de l''opération en €])</f>
        <v>0</v>
      </c>
      <c r="J16" s="132">
        <f>SUBTOTAL(109,Tableau_Refacturation[Non éligible])</f>
        <v>0</v>
      </c>
      <c r="K16" s="133">
        <f>SUBTOTAL(109,Tableau_Refacturation[RF])</f>
        <v>0</v>
      </c>
      <c r="L16" s="133">
        <f>SUBTOTAL(109,Tableau_Refacturation[RI])</f>
        <v>0</v>
      </c>
      <c r="M16" s="134">
        <f>SUBTOTAL(109,Tableau_Refacturation[DE])</f>
        <v>0</v>
      </c>
      <c r="N16" s="134">
        <f>SUBTOTAL(109,Tableau_Refacturation[PE])</f>
        <v>0</v>
      </c>
      <c r="O16" s="134">
        <f>SUBTOTAL(109,Tableau_Refacturation[RD])</f>
        <v>0</v>
      </c>
      <c r="P16" s="135" t="e">
        <f>SUBTOTAL(109,Tableau_Refacturation #REF! )</f>
        <v>#NAME?</v>
      </c>
    </row>
    <row r="17" spans="1:16" ht="39" customHeight="1" x14ac:dyDescent="0.15">
      <c r="A17" s="20"/>
      <c r="P17" s="21"/>
    </row>
    <row r="18" spans="1:16" x14ac:dyDescent="0.15">
      <c r="A18" s="262" t="str">
        <f>"Je soussigné "&amp;nom&amp;" "&amp;prenom&amp;", "&amp;fonction&amp;CONCATENATE(", certifie que les dépenses de refacturation interne ci-dessus sont imputables à la réalisation du projet : ")&amp;projet</f>
        <v>Je soussigné Pour le Président et par délégation TIXIDOR Stéphanie, Directrice de la Direction des Finances et des Achats, certifie que les dépenses de refacturation interne ci-dessus sont imputables à la réalisation du projet : PSI-BIOM</v>
      </c>
      <c r="B18" s="262"/>
      <c r="C18" s="262"/>
      <c r="D18" s="262"/>
      <c r="E18" s="262"/>
      <c r="F18" s="262"/>
      <c r="G18" s="262"/>
      <c r="H18" s="262"/>
      <c r="I18" s="262"/>
      <c r="J18" s="262"/>
      <c r="K18" s="262"/>
      <c r="L18" s="262"/>
      <c r="M18" s="262"/>
      <c r="N18" s="262"/>
      <c r="O18" s="262"/>
      <c r="P18" s="262"/>
    </row>
    <row r="19" spans="1:16" x14ac:dyDescent="0.15">
      <c r="A19" s="20"/>
      <c r="P19" s="21"/>
    </row>
    <row r="20" spans="1:16" ht="16" x14ac:dyDescent="0.2">
      <c r="A20" s="20"/>
      <c r="K20" s="46" t="s">
        <v>60</v>
      </c>
      <c r="L20" s="48">
        <f>+'Données initiales'!C7</f>
        <v>198307662</v>
      </c>
      <c r="P20" s="21"/>
    </row>
    <row r="21" spans="1:16" ht="16" x14ac:dyDescent="0.2">
      <c r="A21" s="20"/>
      <c r="K21" s="46" t="s">
        <v>61</v>
      </c>
      <c r="L21" s="50">
        <f>'Synthèse ERD'!G23</f>
        <v>45845</v>
      </c>
      <c r="P21" s="21"/>
    </row>
    <row r="22" spans="1:16" ht="16" x14ac:dyDescent="0.2">
      <c r="A22" s="20"/>
      <c r="K22" s="46" t="s">
        <v>62</v>
      </c>
      <c r="L22" s="52"/>
      <c r="P22" s="21"/>
    </row>
    <row r="23" spans="1:16" ht="17" x14ac:dyDescent="0.2">
      <c r="A23" s="20"/>
      <c r="L23" s="91"/>
      <c r="M23" s="91"/>
      <c r="N23" s="91"/>
      <c r="O23" s="91"/>
      <c r="P23" s="21"/>
    </row>
    <row r="24" spans="1:16" x14ac:dyDescent="0.15">
      <c r="A24" s="20"/>
      <c r="P24" s="21"/>
    </row>
    <row r="25" spans="1:16" x14ac:dyDescent="0.15">
      <c r="A25" s="20"/>
      <c r="P25" s="21"/>
    </row>
    <row r="26" spans="1:16" x14ac:dyDescent="0.15">
      <c r="A26" s="20"/>
      <c r="P26" s="21"/>
    </row>
    <row r="27" spans="1:16" x14ac:dyDescent="0.15">
      <c r="A27" s="53"/>
      <c r="B27" s="54"/>
      <c r="C27" s="54"/>
      <c r="D27" s="54"/>
      <c r="E27" s="54"/>
      <c r="F27" s="54"/>
      <c r="G27" s="54"/>
      <c r="H27" s="54"/>
      <c r="I27" s="54"/>
      <c r="J27" s="54"/>
      <c r="K27" s="54"/>
      <c r="L27" s="54"/>
      <c r="M27" s="54"/>
      <c r="N27" s="54"/>
      <c r="O27" s="54"/>
      <c r="P27" s="55"/>
    </row>
  </sheetData>
  <mergeCells count="10">
    <mergeCell ref="A6:P6"/>
    <mergeCell ref="A7:P7"/>
    <mergeCell ref="A8:P8"/>
    <mergeCell ref="A18:P18"/>
    <mergeCell ref="A2:P2"/>
    <mergeCell ref="A3:P3"/>
    <mergeCell ref="B5:C5"/>
    <mergeCell ref="E5:F5"/>
    <mergeCell ref="G5:I5"/>
    <mergeCell ref="M5:P5"/>
  </mergeCells>
  <conditionalFormatting sqref="I10:I15">
    <cfRule type="expression" dxfId="5" priority="2">
      <formula>AND(I10&lt;&gt;"",I10&lt;&gt;(J10+P10))</formula>
    </cfRule>
  </conditionalFormatting>
  <dataValidations count="6">
    <dataValidation allowBlank="1" showInputMessage="1" showErrorMessage="1" prompt="Merci de reprendre les tâches ou lots décrits dans l'annexe financière" sqref="C10:C15" xr:uid="{00000000-0002-0000-0500-000000000000}">
      <formula1>0</formula1>
      <formula2>0</formula2>
    </dataValidation>
    <dataValidation allowBlank="1" showInputMessage="1" showErrorMessage="1" promptTitle="TVA" prompt="Si non assujetti à la TVA alors le montant à inscrire est TTC _x000a_Si assujetti à la TVA alors le montant à inscrire est Hors Taxe (HT)" sqref="I10:I15" xr:uid="{00000000-0002-0000-0500-000001000000}">
      <formula1>0</formula1>
      <formula2>0</formula2>
    </dataValidation>
    <dataValidation allowBlank="1" showInputMessage="1" showErrorMessage="1" prompt="Descriptif qui doit permettre au lecteur de comprendre les travaux effectués par le fournisseur interne" sqref="B10:B11 B13 B15" xr:uid="{00000000-0002-0000-0500-000002000000}">
      <formula1>0</formula1>
      <formula2>0</formula2>
    </dataValidation>
    <dataValidation type="list" allowBlank="1" showInputMessage="1" showErrorMessage="1" prompt="Merci de sélectionner une valeur dans le menu déroulant. Si la refacturation interne ne concerne pas du &quot;temps homme&quot; alors choisir la modalité &quot;Non applicable&quot;." sqref="F10:F15" xr:uid="{00000000-0002-0000-0500-000003000000}">
      <formula1>"Heure,Jour,Mois,Non applicable"</formula1>
      <formula2>0</formula2>
    </dataValidation>
    <dataValidation type="date" allowBlank="1" showInputMessage="1" showErrorMessage="1" errorTitle="Période de référence" error="Format : jj/mm/aaaa_x000a__x000a_La date doit être entre à la date de début et de fin de la période de référence. " promptTitle="Format" prompt="Merci de saisir une date au format jj/mm/aaaa dans la période de référence" sqref="E10:E15" xr:uid="{00000000-0002-0000-0500-000004000000}">
      <formula1>date_debut</formula1>
      <formula2>date_fin</formula2>
    </dataValidation>
    <dataValidation allowBlank="1" showInputMessage="1" showErrorMessage="1" prompt="Merci de reprendre les tâches ou lots notifiés dans l'annexe financière" sqref="B12 B14" xr:uid="{00000000-0002-0000-0500-000005000000}">
      <formula1>0</formula1>
      <formula2>0</formula2>
    </dataValidation>
  </dataValidations>
  <pageMargins left="0.31527777777777799" right="0.31527777777777799" top="0.74861111111111101" bottom="0.55138888888888904" header="0.31527777777777799" footer="0.31527777777777799"/>
  <pageSetup paperSize="9" scale="54" fitToHeight="0" orientation="landscape" verticalDpi="300" r:id="rId1"/>
  <headerFooter>
    <oddHeader>&amp;R&amp;22&amp;A</oddHeader>
    <oddFooter>&amp;R&amp;22&amp;P/&amp;N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R26"/>
  <sheetViews>
    <sheetView showGridLines="0" topLeftCell="A6" zoomScale="91" zoomScaleNormal="91" workbookViewId="0">
      <selection activeCell="A11" sqref="A11"/>
    </sheetView>
  </sheetViews>
  <sheetFormatPr baseColWidth="10" defaultColWidth="11.6640625" defaultRowHeight="14" x14ac:dyDescent="0.15"/>
  <cols>
    <col min="1" max="1" width="25.6640625" style="18" customWidth="1"/>
    <col min="2" max="3" width="30.33203125" style="18" customWidth="1"/>
    <col min="4" max="4" width="9.6640625" style="18" customWidth="1"/>
    <col min="5" max="5" width="19.5" style="18" customWidth="1"/>
    <col min="6" max="6" width="14.33203125" style="18" customWidth="1"/>
    <col min="7" max="7" width="25.33203125" style="18" customWidth="1"/>
    <col min="8" max="8" width="19.33203125" style="18" customWidth="1"/>
    <col min="9" max="14" width="14.5" style="18" customWidth="1"/>
    <col min="15" max="15" width="15.33203125" style="18" customWidth="1"/>
    <col min="16" max="16384" width="11.6640625" style="18"/>
  </cols>
  <sheetData>
    <row r="1" spans="1:18" ht="3.75" customHeight="1" x14ac:dyDescent="0.15"/>
    <row r="2" spans="1:18" ht="62.25" customHeight="1" x14ac:dyDescent="0.15">
      <c r="A2" s="263" t="s">
        <v>63</v>
      </c>
      <c r="B2" s="263"/>
      <c r="C2" s="263"/>
      <c r="D2" s="263"/>
      <c r="E2" s="263"/>
      <c r="F2" s="263"/>
      <c r="G2" s="263"/>
      <c r="H2" s="263"/>
      <c r="I2" s="263"/>
      <c r="J2" s="263"/>
      <c r="K2" s="263"/>
      <c r="L2" s="263"/>
      <c r="M2" s="263"/>
      <c r="N2" s="263"/>
      <c r="O2" s="263"/>
    </row>
    <row r="3" spans="1:18" ht="27" customHeight="1" x14ac:dyDescent="0.15">
      <c r="A3" s="271" t="s">
        <v>97</v>
      </c>
      <c r="B3" s="271"/>
      <c r="C3" s="271"/>
      <c r="D3" s="271"/>
      <c r="E3" s="271"/>
      <c r="F3" s="271"/>
      <c r="G3" s="271"/>
      <c r="H3" s="271"/>
      <c r="I3" s="271"/>
      <c r="J3" s="271"/>
      <c r="K3" s="271"/>
      <c r="L3" s="271"/>
      <c r="M3" s="271"/>
      <c r="N3" s="271"/>
      <c r="O3" s="271"/>
    </row>
    <row r="4" spans="1:18" x14ac:dyDescent="0.15">
      <c r="B4" s="92"/>
    </row>
    <row r="5" spans="1:18" ht="30" customHeight="1" x14ac:dyDescent="0.2">
      <c r="A5" s="93" t="s">
        <v>67</v>
      </c>
      <c r="B5" s="26" t="str">
        <f>projet</f>
        <v>PSI-BIOM</v>
      </c>
      <c r="C5" s="26"/>
      <c r="D5" s="268" t="s">
        <v>43</v>
      </c>
      <c r="E5" s="268"/>
      <c r="F5" s="267" t="str">
        <f>beneficiaire</f>
        <v>UNIVERSITE DE TOULON</v>
      </c>
      <c r="G5" s="267"/>
      <c r="H5" s="267"/>
      <c r="I5" s="57"/>
      <c r="J5" s="57"/>
      <c r="K5" s="25" t="s">
        <v>44</v>
      </c>
      <c r="L5" s="269" t="str">
        <f>num_convention</f>
        <v xml:space="preserve"> 2182D0406-C</v>
      </c>
      <c r="M5" s="269"/>
      <c r="N5" s="269"/>
      <c r="O5" s="269"/>
    </row>
    <row r="6" spans="1:18" ht="19.5" customHeight="1" x14ac:dyDescent="0.15">
      <c r="A6" s="259" t="str">
        <f>"  Etat d'avancement de la période du "&amp;TEXT(date_debut,"jj/mm/aaaa")&amp;" au "&amp;TEXT(date_fin,"jj/mm/aaaa")</f>
        <v xml:space="preserve">  Etat d'avancement de la période du 20/12/2021 au 20/06/2025</v>
      </c>
      <c r="B6" s="259"/>
      <c r="C6" s="259"/>
      <c r="D6" s="259"/>
      <c r="E6" s="259"/>
      <c r="F6" s="259"/>
      <c r="G6" s="259"/>
      <c r="H6" s="259"/>
      <c r="I6" s="259"/>
      <c r="J6" s="259"/>
      <c r="K6" s="259"/>
      <c r="L6" s="259"/>
      <c r="M6" s="259"/>
      <c r="N6" s="259"/>
      <c r="O6" s="259"/>
    </row>
    <row r="7" spans="1:18" ht="19.5" customHeight="1" x14ac:dyDescent="0.15">
      <c r="A7" s="259" t="str">
        <f>IF('Données initiales'!C15="Solde", 'Données initiales'!C15, +" Etape clé "&amp;num_etape)</f>
        <v>Solde</v>
      </c>
      <c r="B7" s="259"/>
      <c r="C7" s="259"/>
      <c r="D7" s="259"/>
      <c r="E7" s="259"/>
      <c r="F7" s="259"/>
      <c r="G7" s="259"/>
      <c r="H7" s="259"/>
      <c r="I7" s="259"/>
      <c r="J7" s="259"/>
      <c r="K7" s="259"/>
      <c r="L7" s="259"/>
      <c r="M7" s="259"/>
      <c r="N7" s="259"/>
      <c r="O7" s="259"/>
    </row>
    <row r="8" spans="1:18" ht="19.5" customHeight="1" x14ac:dyDescent="0.15">
      <c r="A8" s="270" t="s">
        <v>57</v>
      </c>
      <c r="B8" s="270"/>
      <c r="C8" s="270"/>
      <c r="D8" s="270"/>
      <c r="E8" s="270"/>
      <c r="F8" s="270"/>
      <c r="G8" s="270"/>
      <c r="H8" s="270"/>
      <c r="I8" s="270"/>
      <c r="J8" s="270"/>
      <c r="K8" s="270"/>
      <c r="L8" s="270"/>
      <c r="M8" s="270"/>
      <c r="N8" s="270"/>
      <c r="O8" s="270"/>
    </row>
    <row r="9" spans="1:18" ht="64" x14ac:dyDescent="0.15">
      <c r="A9" s="59" t="s">
        <v>68</v>
      </c>
      <c r="B9" s="60" t="s">
        <v>81</v>
      </c>
      <c r="C9" s="60" t="s">
        <v>98</v>
      </c>
      <c r="D9" s="60" t="s">
        <v>82</v>
      </c>
      <c r="E9" s="60" t="s">
        <v>99</v>
      </c>
      <c r="F9" s="60" t="s">
        <v>100</v>
      </c>
      <c r="G9" s="96" t="s">
        <v>86</v>
      </c>
      <c r="H9" s="62" t="s">
        <v>77</v>
      </c>
      <c r="I9" s="63" t="s">
        <v>47</v>
      </c>
      <c r="J9" s="60" t="s">
        <v>48</v>
      </c>
      <c r="K9" s="60" t="s">
        <v>49</v>
      </c>
      <c r="L9" s="61" t="s">
        <v>50</v>
      </c>
      <c r="M9" s="61" t="s">
        <v>51</v>
      </c>
      <c r="N9" s="61" t="s">
        <v>52</v>
      </c>
      <c r="O9" s="64" t="s">
        <v>181</v>
      </c>
      <c r="P9" s="183" t="s">
        <v>124</v>
      </c>
      <c r="Q9" s="183" t="s">
        <v>125</v>
      </c>
    </row>
    <row r="10" spans="1:18" ht="30" x14ac:dyDescent="0.15">
      <c r="A10" s="65" t="s">
        <v>176</v>
      </c>
      <c r="B10" s="98" t="s">
        <v>179</v>
      </c>
      <c r="C10" s="98" t="s">
        <v>180</v>
      </c>
      <c r="D10" s="66" t="s">
        <v>182</v>
      </c>
      <c r="E10" s="66">
        <v>30009718</v>
      </c>
      <c r="F10" s="67">
        <v>45828</v>
      </c>
      <c r="G10" s="99" t="s">
        <v>154</v>
      </c>
      <c r="H10" s="69">
        <v>22.5</v>
      </c>
      <c r="I10" s="70"/>
      <c r="J10" s="71"/>
      <c r="K10" s="71">
        <v>22.5</v>
      </c>
      <c r="L10" s="68"/>
      <c r="M10" s="68"/>
      <c r="N10" s="68"/>
      <c r="O10" s="184">
        <f>IF(OR(Tableau_FraisMissions[[#This Row],[RF]]&lt;&gt;"",Tableau_FraisMissions[[#This Row],[RI]]&lt;&gt;"",Tableau_FraisMissions[[#This Row],[DE]]&lt;&gt;"",Tableau_FraisMissions[[#This Row],[PE]]&lt;&gt;"",Tableau_FraisMissions[[#This Row],[RD]]&lt;&gt;""),Tableau_FraisMissions[[#This Row],[RF]]+Tableau_FraisMissions[[#This Row],[RI]]+Tableau_FraisMissions[[#This Row],[DE]]+Tableau_FraisMissions[[#This Row],[PE]]+Tableau_FraisMissions[[#This Row],[RD]],0)</f>
        <v>22.5</v>
      </c>
      <c r="P10" s="186"/>
      <c r="Q10" s="187"/>
    </row>
    <row r="11" spans="1:18" ht="17.75" customHeight="1" x14ac:dyDescent="0.15">
      <c r="A11" s="65"/>
      <c r="B11" s="219"/>
      <c r="C11" s="98"/>
      <c r="D11" s="66"/>
      <c r="E11" s="66"/>
      <c r="F11" s="67"/>
      <c r="G11" s="104"/>
      <c r="H11" s="126"/>
      <c r="I11" s="70"/>
      <c r="J11" s="71"/>
      <c r="K11" s="71"/>
      <c r="L11" s="68"/>
      <c r="M11" s="68"/>
      <c r="N11" s="68"/>
      <c r="O11" s="185">
        <f>IF(OR(Tableau_FraisMissions[[#This Row],[RF]]&lt;&gt;"",Tableau_FraisMissions[[#This Row],[RI]]&lt;&gt;"",Tableau_FraisMissions[[#This Row],[DE]]&lt;&gt;"",Tableau_FraisMissions[[#This Row],[PE]]&lt;&gt;"",Tableau_FraisMissions[[#This Row],[RD]]&lt;&gt;""),Tableau_FraisMissions[[#This Row],[RF]]+Tableau_FraisMissions[[#This Row],[RI]]+Tableau_FraisMissions[[#This Row],[DE]]+Tableau_FraisMissions[[#This Row],[PE]]+Tableau_FraisMissions[[#This Row],[RD]],0)</f>
        <v>0</v>
      </c>
      <c r="P11" s="186"/>
      <c r="Q11" s="187"/>
    </row>
    <row r="12" spans="1:18" ht="17.75" customHeight="1" x14ac:dyDescent="0.15">
      <c r="A12" s="65"/>
      <c r="B12" s="219"/>
      <c r="C12" s="98"/>
      <c r="D12" s="66"/>
      <c r="E12" s="66"/>
      <c r="F12" s="67"/>
      <c r="G12" s="104"/>
      <c r="H12" s="126"/>
      <c r="I12" s="70"/>
      <c r="J12" s="71"/>
      <c r="K12" s="71"/>
      <c r="L12" s="68"/>
      <c r="M12" s="68"/>
      <c r="N12" s="68"/>
      <c r="O12" s="105">
        <f>IF(OR(Tableau_FraisMissions[[#This Row],[RF]]&lt;&gt;"",Tableau_FraisMissions[[#This Row],[RI]]&lt;&gt;"",Tableau_FraisMissions[[#This Row],[DE]]&lt;&gt;"",Tableau_FraisMissions[[#This Row],[PE]]&lt;&gt;"",Tableau_FraisMissions[[#This Row],[RD]]&lt;&gt;""),Tableau_FraisMissions[[#This Row],[RF]]+Tableau_FraisMissions[[#This Row],[RI]]+Tableau_FraisMissions[[#This Row],[DE]]+Tableau_FraisMissions[[#This Row],[PE]]+Tableau_FraisMissions[[#This Row],[RD]],0)</f>
        <v>0</v>
      </c>
    </row>
    <row r="13" spans="1:18" ht="17.75" customHeight="1" x14ac:dyDescent="0.15">
      <c r="A13" s="65"/>
      <c r="B13" s="98"/>
      <c r="C13" s="98"/>
      <c r="D13" s="66"/>
      <c r="E13" s="66"/>
      <c r="F13" s="67"/>
      <c r="G13" s="99"/>
      <c r="H13" s="69"/>
      <c r="I13" s="70"/>
      <c r="J13" s="71"/>
      <c r="K13" s="71"/>
      <c r="L13" s="68"/>
      <c r="M13" s="68"/>
      <c r="N13" s="68"/>
      <c r="O13" s="72">
        <f>IF(OR(Tableau_FraisMissions[[#This Row],[RF]]&lt;&gt;"",Tableau_FraisMissions[[#This Row],[RI]]&lt;&gt;"",Tableau_FraisMissions[[#This Row],[DE]]&lt;&gt;"",Tableau_FraisMissions[[#This Row],[PE]]&lt;&gt;"",Tableau_FraisMissions[[#This Row],[RD]]&lt;&gt;""),Tableau_FraisMissions[[#This Row],[RF]]+Tableau_FraisMissions[[#This Row],[RI]]+Tableau_FraisMissions[[#This Row],[DE]]+Tableau_FraisMissions[[#This Row],[PE]]+Tableau_FraisMissions[[#This Row],[RD]],0)</f>
        <v>0</v>
      </c>
    </row>
    <row r="14" spans="1:18" ht="17.75" customHeight="1" x14ac:dyDescent="0.35">
      <c r="A14" s="79"/>
      <c r="B14" s="136"/>
      <c r="C14" s="136"/>
      <c r="D14" s="80"/>
      <c r="E14" s="80"/>
      <c r="F14" s="81"/>
      <c r="G14" s="137"/>
      <c r="H14" s="83"/>
      <c r="I14" s="75"/>
      <c r="J14" s="76"/>
      <c r="K14" s="76"/>
      <c r="L14" s="77"/>
      <c r="M14" s="77"/>
      <c r="N14" s="77"/>
      <c r="O14" s="78">
        <f>IF(OR(Tableau_FraisMissions[[#This Row],[RF]]&lt;&gt;"",Tableau_FraisMissions[[#This Row],[RI]]&lt;&gt;"",Tableau_FraisMissions[[#This Row],[DE]]&lt;&gt;"",Tableau_FraisMissions[[#This Row],[PE]]&lt;&gt;"",Tableau_FraisMissions[[#This Row],[RD]]&lt;&gt;""),Tableau_FraisMissions[[#This Row],[RF]]+Tableau_FraisMissions[[#This Row],[RI]]+Tableau_FraisMissions[[#This Row],[DE]]+Tableau_FraisMissions[[#This Row],[PE]]+Tableau_FraisMissions[[#This Row],[RD]],0)</f>
        <v>0</v>
      </c>
      <c r="Q14" s="221"/>
      <c r="R14" s="221"/>
    </row>
    <row r="15" spans="1:18" ht="23.25" customHeight="1" x14ac:dyDescent="0.15">
      <c r="A15" s="128" t="s">
        <v>101</v>
      </c>
      <c r="B15" s="129"/>
      <c r="C15" s="129"/>
      <c r="D15" s="129"/>
      <c r="E15" s="129"/>
      <c r="F15" s="129"/>
      <c r="G15" s="130"/>
      <c r="H15" s="131">
        <f>SUBTOTAL(109,Tableau_FraisMissions[Montant total de l''opération en €])</f>
        <v>22.5</v>
      </c>
      <c r="I15" s="138">
        <f>SUBTOTAL(109,Tableau_FraisMissions[Non éligible])</f>
        <v>0</v>
      </c>
      <c r="J15" s="139">
        <f>SUBTOTAL(109,Tableau_FraisMissions[RF])</f>
        <v>0</v>
      </c>
      <c r="K15" s="139">
        <f>SUBTOTAL(109,Tableau_FraisMissions[RI])</f>
        <v>22.5</v>
      </c>
      <c r="L15" s="140">
        <f>SUBTOTAL(109,Tableau_FraisMissions[DE])</f>
        <v>0</v>
      </c>
      <c r="M15" s="140">
        <f>SUBTOTAL(109,Tableau_FraisMissions[PE])</f>
        <v>0</v>
      </c>
      <c r="N15" s="140">
        <f>SUBTOTAL(109,Tableau_FraisMissions[RD])</f>
        <v>0</v>
      </c>
      <c r="O15" s="135">
        <f>O10</f>
        <v>22.5</v>
      </c>
    </row>
    <row r="16" spans="1:18" ht="43.5" customHeight="1" x14ac:dyDescent="0.15">
      <c r="A16" s="20"/>
      <c r="O16" s="21"/>
    </row>
    <row r="17" spans="1:15" x14ac:dyDescent="0.15">
      <c r="A17" s="262" t="str">
        <f>"Je soussigné "&amp;nom&amp;" "&amp;prenom&amp;", "&amp;fonction&amp;CONCATENATE(", certifie que les frais de missions ci-dessus sont imputables à la réalisation du projet : ")&amp;projet</f>
        <v>Je soussigné Pour le Président et par délégation TIXIDOR Stéphanie, Directrice de la Direction des Finances et des Achats, certifie que les frais de missions ci-dessus sont imputables à la réalisation du projet : PSI-BIOM</v>
      </c>
      <c r="B17" s="262"/>
      <c r="C17" s="262"/>
      <c r="D17" s="262"/>
      <c r="E17" s="262"/>
      <c r="F17" s="262"/>
      <c r="G17" s="262"/>
      <c r="H17" s="262"/>
      <c r="I17" s="262"/>
      <c r="J17" s="262"/>
      <c r="K17" s="262"/>
      <c r="L17" s="262"/>
      <c r="M17" s="262"/>
      <c r="N17" s="262"/>
      <c r="O17" s="262"/>
    </row>
    <row r="18" spans="1:15" x14ac:dyDescent="0.15">
      <c r="A18" s="20"/>
      <c r="O18" s="21"/>
    </row>
    <row r="19" spans="1:15" ht="16" x14ac:dyDescent="0.2">
      <c r="A19" s="20"/>
      <c r="J19" s="46" t="s">
        <v>60</v>
      </c>
      <c r="K19" s="48">
        <f>+'Données initiales'!C7</f>
        <v>198307662</v>
      </c>
      <c r="O19" s="21"/>
    </row>
    <row r="20" spans="1:15" ht="16" x14ac:dyDescent="0.2">
      <c r="A20" s="20"/>
      <c r="J20" s="46" t="s">
        <v>61</v>
      </c>
      <c r="K20" s="50">
        <f>'Synthèse ERD'!G23</f>
        <v>45845</v>
      </c>
      <c r="O20" s="21"/>
    </row>
    <row r="21" spans="1:15" ht="16" x14ac:dyDescent="0.2">
      <c r="A21" s="20"/>
      <c r="J21" s="46" t="s">
        <v>62</v>
      </c>
      <c r="K21" s="52"/>
      <c r="O21" s="21"/>
    </row>
    <row r="22" spans="1:15" ht="17" x14ac:dyDescent="0.2">
      <c r="A22" s="20"/>
      <c r="K22" s="91"/>
      <c r="L22" s="91"/>
      <c r="M22" s="91"/>
      <c r="N22" s="91"/>
      <c r="O22" s="21"/>
    </row>
    <row r="23" spans="1:15" x14ac:dyDescent="0.15">
      <c r="A23" s="20"/>
      <c r="O23" s="21"/>
    </row>
    <row r="24" spans="1:15" x14ac:dyDescent="0.15">
      <c r="A24" s="20"/>
      <c r="O24" s="21"/>
    </row>
    <row r="25" spans="1:15" x14ac:dyDescent="0.15">
      <c r="A25" s="20" t="s">
        <v>88</v>
      </c>
      <c r="O25" s="21"/>
    </row>
    <row r="26" spans="1:15" x14ac:dyDescent="0.15">
      <c r="A26" s="53" t="s">
        <v>89</v>
      </c>
      <c r="B26" s="54"/>
      <c r="C26" s="54"/>
      <c r="D26" s="54"/>
      <c r="E26" s="54"/>
      <c r="F26" s="54"/>
      <c r="G26" s="54"/>
      <c r="H26" s="54"/>
      <c r="I26" s="54"/>
      <c r="J26" s="54"/>
      <c r="K26" s="54"/>
      <c r="L26" s="54"/>
      <c r="M26" s="54"/>
      <c r="N26" s="54"/>
      <c r="O26" s="55"/>
    </row>
  </sheetData>
  <mergeCells count="9">
    <mergeCell ref="A6:O6"/>
    <mergeCell ref="A7:O7"/>
    <mergeCell ref="A8:O8"/>
    <mergeCell ref="A17:O17"/>
    <mergeCell ref="A2:O2"/>
    <mergeCell ref="A3:O3"/>
    <mergeCell ref="D5:E5"/>
    <mergeCell ref="F5:H5"/>
    <mergeCell ref="L5:O5"/>
  </mergeCells>
  <conditionalFormatting sqref="H10:H14">
    <cfRule type="expression" dxfId="4" priority="2">
      <formula>AND(H10&lt;&gt;"",H10&lt;&gt;(I10+O10))</formula>
    </cfRule>
  </conditionalFormatting>
  <dataValidations xWindow="542" yWindow="577" count="7">
    <dataValidation allowBlank="1" showInputMessage="1" showErrorMessage="1" prompt="Merci de reprendre les tâches ou lots décrits dans l'annexe financière" sqref="D10:D14" xr:uid="{00000000-0002-0000-0600-000000000000}">
      <formula1>0</formula1>
      <formula2>0</formula2>
    </dataValidation>
    <dataValidation allowBlank="1" showInputMessage="1" showErrorMessage="1" promptTitle="TVA" prompt="Si non assujetti à la TVA alors le montant à inscrire est TTC _x000a_Si assujetti à la TVA alors le montant à inscrire est Hors Taxe (HT)" sqref="H10:H14" xr:uid="{00000000-0002-0000-0600-000001000000}">
      <formula1>0</formula1>
      <formula2>0</formula2>
    </dataValidation>
    <dataValidation allowBlank="1" showInputMessage="1" showErrorMessage="1" promptTitle="Aide" prompt="Billets de trains, hôtel...." sqref="B13:B14 B10" xr:uid="{00000000-0002-0000-0600-000002000000}">
      <formula1>0</formula1>
      <formula2>0</formula2>
    </dataValidation>
    <dataValidation allowBlank="1" showInputMessage="1" showErrorMessage="1" promptTitle="Aide" prompt="Motif de la mission : préciser clairement le cadre de la dépense par rapport au projet." sqref="C10:C14" xr:uid="{00000000-0002-0000-0600-000003000000}">
      <formula1>0</formula1>
      <formula2>0</formula2>
    </dataValidation>
    <dataValidation type="list" allowBlank="1" showInputMessage="1" showErrorMessage="1" prompt="Afin d'être éligible, la dépense doit obligatoirement être acquitée" sqref="G10:G14" xr:uid="{00000000-0002-0000-0600-000004000000}">
      <formula1>"Oui,Non"</formula1>
      <formula2>0</formula2>
    </dataValidation>
    <dataValidation type="date" allowBlank="1" showInputMessage="1" showErrorMessage="1" errorTitle="Période de référence" error="Format : jj/mm/aaaa_x000a__x000a_La date doit être entre à la date de début et de fin de la période de référence. " promptTitle="Format" prompt="Merci de saisir une date au format jj/mm/aaaa dans la période de référence" sqref="F10:F14" xr:uid="{00000000-0002-0000-0600-000005000000}">
      <formula1>date_debut</formula1>
      <formula2>date_fin</formula2>
    </dataValidation>
    <dataValidation allowBlank="1" showInputMessage="1" showErrorMessage="1" prompt="Merci de reprendre les tâches ou lots notifiés dans l'annexe financière" sqref="B11:B12" xr:uid="{00000000-0002-0000-0600-000006000000}">
      <formula1>0</formula1>
      <formula2>0</formula2>
    </dataValidation>
  </dataValidations>
  <pageMargins left="0.31527777777777799" right="0.31527777777777799" top="0.74861111111111101" bottom="0.55138888888888904" header="0.31527777777777799" footer="0.31527777777777799"/>
  <pageSetup paperSize="9" scale="50" fitToHeight="0" orientation="landscape" verticalDpi="300" r:id="rId1"/>
  <headerFooter>
    <oddHeader>&amp;R&amp;22&amp;A</oddHeader>
    <oddFooter>&amp;R&amp;22&amp;P/&amp;N</oddFooter>
  </headerFooter>
  <tableParts count="1">
    <tablePart r:id="rId2"/>
  </tableParts>
  <extLst>
    <ext xmlns:x14="http://schemas.microsoft.com/office/spreadsheetml/2009/9/main" uri="{CCE6A557-97BC-4b89-ADB6-D9C93CAAB3DF}">
      <x14:dataValidations xmlns:xm="http://schemas.microsoft.com/office/excel/2006/main" xWindow="542" yWindow="577" count="1">
        <x14:dataValidation type="list" allowBlank="1" showInputMessage="1" showErrorMessage="1" prompt="La personne indiquée ici doit être au préalable identifié dans l'onglet : 1-Salaires" xr:uid="{00000000-0002-0000-0600-000007000000}">
          <x14:formula1>
            <xm:f>'1- Salaires'!$A$12:$A$43</xm:f>
          </x14:formula1>
          <x14:formula2>
            <xm:f>0</xm:f>
          </x14:formula2>
          <xm:sqref>A10:A14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pageSetUpPr fitToPage="1"/>
  </sheetPr>
  <dimension ref="A1:P33"/>
  <sheetViews>
    <sheetView showGridLines="0" zoomScale="85" zoomScaleNormal="85" workbookViewId="0">
      <pane ySplit="9" topLeftCell="A10" activePane="bottomLeft" state="frozen"/>
      <selection pane="bottomLeft" activeCell="C10" sqref="C10:C15"/>
    </sheetView>
  </sheetViews>
  <sheetFormatPr baseColWidth="10" defaultColWidth="11.6640625" defaultRowHeight="14" x14ac:dyDescent="0.15"/>
  <cols>
    <col min="1" max="1" width="27.6640625" style="18" customWidth="1"/>
    <col min="2" max="2" width="47.5" style="18" bestFit="1" customWidth="1"/>
    <col min="3" max="3" width="9.5" style="18" customWidth="1"/>
    <col min="4" max="4" width="17.6640625" style="18" customWidth="1"/>
    <col min="5" max="5" width="13.5" style="18" customWidth="1"/>
    <col min="6" max="6" width="25.5" style="18" customWidth="1"/>
    <col min="7" max="7" width="17.33203125" style="18" customWidth="1"/>
    <col min="8" max="14" width="16.33203125" style="18" customWidth="1"/>
    <col min="15" max="16384" width="11.6640625" style="18"/>
  </cols>
  <sheetData>
    <row r="1" spans="1:16" ht="7.5" customHeight="1" x14ac:dyDescent="0.15"/>
    <row r="2" spans="1:16" ht="60" customHeight="1" x14ac:dyDescent="0.15">
      <c r="A2" s="263" t="s">
        <v>90</v>
      </c>
      <c r="B2" s="263"/>
      <c r="C2" s="263"/>
      <c r="D2" s="263"/>
      <c r="E2" s="263"/>
      <c r="F2" s="263"/>
      <c r="G2" s="263"/>
      <c r="H2" s="263"/>
      <c r="I2" s="263"/>
      <c r="J2" s="263"/>
      <c r="K2" s="263"/>
      <c r="L2" s="263"/>
      <c r="M2" s="263"/>
      <c r="N2" s="263"/>
    </row>
    <row r="3" spans="1:16" ht="20.25" customHeight="1" x14ac:dyDescent="0.15">
      <c r="A3" s="264" t="s">
        <v>16</v>
      </c>
      <c r="B3" s="264"/>
      <c r="C3" s="264"/>
      <c r="D3" s="264"/>
      <c r="E3" s="264"/>
      <c r="F3" s="264"/>
      <c r="G3" s="264"/>
      <c r="H3" s="264"/>
      <c r="I3" s="264"/>
      <c r="J3" s="264"/>
      <c r="K3" s="264"/>
      <c r="L3" s="264"/>
      <c r="M3" s="264"/>
      <c r="N3" s="264"/>
    </row>
    <row r="4" spans="1:16" ht="15" thickBot="1" x14ac:dyDescent="0.2">
      <c r="B4" s="92"/>
    </row>
    <row r="5" spans="1:16" ht="30" customHeight="1" x14ac:dyDescent="0.2">
      <c r="A5" s="93" t="s">
        <v>67</v>
      </c>
      <c r="B5" s="26" t="str">
        <f>projet</f>
        <v>PSI-BIOM</v>
      </c>
      <c r="C5" s="58"/>
      <c r="D5" s="268" t="s">
        <v>43</v>
      </c>
      <c r="E5" s="268"/>
      <c r="F5" s="267" t="str">
        <f>beneficiaire</f>
        <v>UNIVERSITE DE TOULON</v>
      </c>
      <c r="G5" s="267"/>
      <c r="H5" s="267"/>
      <c r="I5" s="58"/>
      <c r="J5" s="25" t="s">
        <v>44</v>
      </c>
      <c r="K5" s="269" t="str">
        <f>num_convention</f>
        <v xml:space="preserve"> 2182D0406-C</v>
      </c>
      <c r="L5" s="269"/>
      <c r="M5" s="269"/>
      <c r="N5" s="269"/>
    </row>
    <row r="6" spans="1:16" ht="19.5" customHeight="1" x14ac:dyDescent="0.15">
      <c r="A6" s="259" t="str">
        <f>"  Etat d'avancement de la période du "&amp;TEXT(date_debut,"jj/mm/aaaa")&amp;" au "&amp;TEXT(date_fin,"jj/mm/aaaa")</f>
        <v xml:space="preserve">  Etat d'avancement de la période du 20/12/2021 au 20/06/2025</v>
      </c>
      <c r="B6" s="259"/>
      <c r="C6" s="259"/>
      <c r="D6" s="259"/>
      <c r="E6" s="259"/>
      <c r="F6" s="259"/>
      <c r="G6" s="259"/>
      <c r="H6" s="259"/>
      <c r="I6" s="259"/>
      <c r="J6" s="259"/>
      <c r="K6" s="259"/>
      <c r="L6" s="259"/>
      <c r="M6" s="259"/>
      <c r="N6" s="259"/>
    </row>
    <row r="7" spans="1:16" ht="19.5" customHeight="1" x14ac:dyDescent="0.15">
      <c r="A7" s="259" t="str">
        <f>IF('Données initiales'!C15="Solde", 'Données initiales'!C15, +" Etape clé "&amp;num_etape)</f>
        <v>Solde</v>
      </c>
      <c r="B7" s="259"/>
      <c r="C7" s="259"/>
      <c r="D7" s="259"/>
      <c r="E7" s="259"/>
      <c r="F7" s="259"/>
      <c r="G7" s="259"/>
      <c r="H7" s="259"/>
      <c r="I7" s="259"/>
      <c r="J7" s="259"/>
      <c r="K7" s="259"/>
      <c r="L7" s="259"/>
      <c r="M7" s="259"/>
      <c r="N7" s="259"/>
    </row>
    <row r="8" spans="1:16" ht="19.5" customHeight="1" x14ac:dyDescent="0.15">
      <c r="A8" s="270" t="s">
        <v>102</v>
      </c>
      <c r="B8" s="270"/>
      <c r="C8" s="270"/>
      <c r="D8" s="270"/>
      <c r="E8" s="270"/>
      <c r="F8" s="270"/>
      <c r="G8" s="270"/>
      <c r="H8" s="270"/>
      <c r="I8" s="270"/>
      <c r="J8" s="270"/>
      <c r="K8" s="270"/>
      <c r="L8" s="270"/>
      <c r="M8" s="270"/>
      <c r="N8" s="270"/>
    </row>
    <row r="9" spans="1:16" ht="64" x14ac:dyDescent="0.15">
      <c r="A9" s="59" t="s">
        <v>80</v>
      </c>
      <c r="B9" s="60" t="s">
        <v>81</v>
      </c>
      <c r="C9" s="61" t="s">
        <v>82</v>
      </c>
      <c r="D9" s="94" t="s">
        <v>83</v>
      </c>
      <c r="E9" s="95" t="s">
        <v>85</v>
      </c>
      <c r="F9" s="96" t="s">
        <v>86</v>
      </c>
      <c r="G9" s="97" t="s">
        <v>77</v>
      </c>
      <c r="H9" s="63" t="s">
        <v>47</v>
      </c>
      <c r="I9" s="60" t="s">
        <v>48</v>
      </c>
      <c r="J9" s="60" t="s">
        <v>49</v>
      </c>
      <c r="K9" s="61" t="s">
        <v>50</v>
      </c>
      <c r="L9" s="61" t="s">
        <v>51</v>
      </c>
      <c r="M9" s="61" t="s">
        <v>52</v>
      </c>
      <c r="N9" s="64" t="s">
        <v>181</v>
      </c>
      <c r="O9" s="206" t="s">
        <v>124</v>
      </c>
      <c r="P9" s="183" t="s">
        <v>125</v>
      </c>
    </row>
    <row r="10" spans="1:16" ht="17.75" customHeight="1" x14ac:dyDescent="0.15">
      <c r="A10" s="65" t="s">
        <v>148</v>
      </c>
      <c r="B10" s="98" t="s">
        <v>150</v>
      </c>
      <c r="C10" s="220" t="s">
        <v>182</v>
      </c>
      <c r="D10" s="232" t="s">
        <v>152</v>
      </c>
      <c r="E10" s="235">
        <v>45418</v>
      </c>
      <c r="F10" s="99" t="s">
        <v>154</v>
      </c>
      <c r="G10" s="69">
        <v>2067.9</v>
      </c>
      <c r="H10" s="70"/>
      <c r="I10" s="71"/>
      <c r="J10" s="71">
        <v>2067.9</v>
      </c>
      <c r="K10" s="68"/>
      <c r="L10" s="68"/>
      <c r="M10" s="68"/>
      <c r="N10" s="72">
        <f>SUM(Tableau_AutresCoûts[[#This Row],[RF]:[RD]])</f>
        <v>2067.9</v>
      </c>
      <c r="O10" s="207" t="s">
        <v>155</v>
      </c>
      <c r="P10" s="187">
        <v>45439</v>
      </c>
    </row>
    <row r="11" spans="1:16" ht="17.75" customHeight="1" x14ac:dyDescent="0.15">
      <c r="A11" s="65" t="s">
        <v>149</v>
      </c>
      <c r="B11" s="98" t="s">
        <v>151</v>
      </c>
      <c r="C11" s="220" t="s">
        <v>189</v>
      </c>
      <c r="D11" s="233" t="s">
        <v>153</v>
      </c>
      <c r="E11" s="236">
        <v>45411</v>
      </c>
      <c r="F11" s="141" t="s">
        <v>154</v>
      </c>
      <c r="G11" s="69">
        <v>332</v>
      </c>
      <c r="H11" s="71"/>
      <c r="I11" s="71"/>
      <c r="J11" s="71">
        <v>332</v>
      </c>
      <c r="K11" s="71"/>
      <c r="L11" s="71"/>
      <c r="M11" s="71"/>
      <c r="N11" s="72">
        <f>SUM(Tableau_AutresCoûts[[#This Row],[RF]:[RD]])</f>
        <v>332</v>
      </c>
      <c r="O11" s="207" t="s">
        <v>156</v>
      </c>
      <c r="P11" s="187">
        <v>45425</v>
      </c>
    </row>
    <row r="12" spans="1:16" ht="15" x14ac:dyDescent="0.15">
      <c r="A12" s="65" t="s">
        <v>149</v>
      </c>
      <c r="B12" s="98" t="s">
        <v>173</v>
      </c>
      <c r="C12" s="220" t="s">
        <v>189</v>
      </c>
      <c r="D12" s="234">
        <v>1406992356</v>
      </c>
      <c r="E12" s="236">
        <v>45796</v>
      </c>
      <c r="F12" s="141" t="s">
        <v>154</v>
      </c>
      <c r="G12" s="69">
        <v>158.13</v>
      </c>
      <c r="H12" s="71"/>
      <c r="I12" s="71"/>
      <c r="J12" s="71">
        <v>158.13</v>
      </c>
      <c r="K12" s="71"/>
      <c r="L12" s="71"/>
      <c r="M12" s="71"/>
      <c r="N12" s="72">
        <f>SUM(Tableau_AutresCoûts[[#This Row],[RF]:[RD]])</f>
        <v>158.13</v>
      </c>
      <c r="O12" s="207">
        <v>30009386</v>
      </c>
      <c r="P12" s="187">
        <v>45819</v>
      </c>
    </row>
    <row r="13" spans="1:16" ht="17.75" customHeight="1" x14ac:dyDescent="0.15">
      <c r="A13" s="65" t="s">
        <v>148</v>
      </c>
      <c r="B13" s="66" t="s">
        <v>174</v>
      </c>
      <c r="C13" s="220" t="s">
        <v>189</v>
      </c>
      <c r="D13" s="233">
        <v>9048450355</v>
      </c>
      <c r="E13" s="236">
        <v>45807</v>
      </c>
      <c r="F13" s="141" t="s">
        <v>154</v>
      </c>
      <c r="G13" s="126">
        <v>709.32</v>
      </c>
      <c r="H13" s="71"/>
      <c r="I13" s="71"/>
      <c r="J13" s="71">
        <v>709.32</v>
      </c>
      <c r="K13" s="71"/>
      <c r="L13" s="71"/>
      <c r="M13" s="71"/>
      <c r="N13" s="72">
        <f>SUM(Tableau_AutresCoûts[[#This Row],[RF]:[RD]])</f>
        <v>709.32</v>
      </c>
      <c r="O13" s="207">
        <v>30009392</v>
      </c>
      <c r="P13" s="187">
        <v>45819</v>
      </c>
    </row>
    <row r="14" spans="1:16" ht="30" x14ac:dyDescent="0.15">
      <c r="A14" s="65" t="s">
        <v>166</v>
      </c>
      <c r="B14" s="98" t="s">
        <v>168</v>
      </c>
      <c r="C14" s="220" t="s">
        <v>182</v>
      </c>
      <c r="D14" s="234" t="s">
        <v>167</v>
      </c>
      <c r="E14" s="236">
        <v>45799</v>
      </c>
      <c r="F14" s="141" t="s">
        <v>154</v>
      </c>
      <c r="G14" s="69">
        <v>1020.77</v>
      </c>
      <c r="H14" s="71"/>
      <c r="I14" s="71"/>
      <c r="J14" s="71">
        <v>1020.77</v>
      </c>
      <c r="K14" s="71"/>
      <c r="L14" s="71"/>
      <c r="M14" s="71"/>
      <c r="N14" s="72">
        <f>SUM(Tableau_AutresCoûts[[#This Row],[RF]:[RD]])</f>
        <v>1020.77</v>
      </c>
      <c r="O14" s="207">
        <v>30009387</v>
      </c>
      <c r="P14" s="187">
        <v>45819</v>
      </c>
    </row>
    <row r="15" spans="1:16" ht="17.75" customHeight="1" x14ac:dyDescent="0.15">
      <c r="A15" s="65" t="s">
        <v>169</v>
      </c>
      <c r="B15" s="66" t="s">
        <v>170</v>
      </c>
      <c r="C15" s="220" t="s">
        <v>182</v>
      </c>
      <c r="D15" s="233" t="s">
        <v>171</v>
      </c>
      <c r="E15" s="236">
        <v>45800</v>
      </c>
      <c r="F15" s="141" t="s">
        <v>154</v>
      </c>
      <c r="G15" s="126">
        <v>433.3</v>
      </c>
      <c r="H15" s="71"/>
      <c r="I15" s="71"/>
      <c r="J15" s="71">
        <v>433.3</v>
      </c>
      <c r="K15" s="71"/>
      <c r="L15" s="71"/>
      <c r="M15" s="71"/>
      <c r="N15" s="72">
        <f>SUM(Tableau_AutresCoûts[[#This Row],[RF]:[RD]])</f>
        <v>433.3</v>
      </c>
      <c r="O15" s="207">
        <v>30009389</v>
      </c>
      <c r="P15" s="187">
        <v>45819</v>
      </c>
    </row>
    <row r="16" spans="1:16" ht="17.75" customHeight="1" x14ac:dyDescent="0.15">
      <c r="A16" s="189"/>
      <c r="B16" s="190"/>
      <c r="C16" s="220"/>
      <c r="D16" s="202"/>
      <c r="E16" s="192"/>
      <c r="F16" s="191"/>
      <c r="G16" s="193"/>
      <c r="H16" s="194"/>
      <c r="I16" s="195"/>
      <c r="J16" s="195"/>
      <c r="K16" s="196"/>
      <c r="L16" s="196"/>
      <c r="M16" s="196"/>
      <c r="N16" s="72">
        <f>SUM(Tableau_AutresCoûts[[#This Row],[RF]:[RD]])</f>
        <v>0</v>
      </c>
      <c r="O16" s="207"/>
      <c r="P16" s="187"/>
    </row>
    <row r="17" spans="1:16" ht="17.75" customHeight="1" x14ac:dyDescent="0.15">
      <c r="A17" s="197"/>
      <c r="B17" s="198"/>
      <c r="C17" s="220"/>
      <c r="D17" s="203"/>
      <c r="E17" s="199"/>
      <c r="F17" s="201"/>
      <c r="G17" s="126"/>
      <c r="H17" s="204"/>
      <c r="I17" s="200"/>
      <c r="J17" s="200"/>
      <c r="K17" s="200"/>
      <c r="L17" s="200"/>
      <c r="M17" s="205"/>
      <c r="N17" s="72">
        <f>SUM(Tableau_AutresCoûts[[#This Row],[RF]:[RD]])</f>
        <v>0</v>
      </c>
      <c r="O17" s="207"/>
      <c r="P17" s="187"/>
    </row>
    <row r="18" spans="1:16" ht="23.25" customHeight="1" x14ac:dyDescent="0.15">
      <c r="A18" s="197"/>
      <c r="B18" s="198"/>
      <c r="C18" s="220"/>
      <c r="D18" s="203"/>
      <c r="E18" s="199"/>
      <c r="F18" s="201"/>
      <c r="G18" s="126"/>
      <c r="H18" s="204"/>
      <c r="I18" s="200"/>
      <c r="J18" s="200"/>
      <c r="K18" s="200"/>
      <c r="L18" s="200"/>
      <c r="M18" s="205"/>
      <c r="N18" s="72">
        <f>SUM(Tableau_AutresCoûts[[#This Row],[RF]:[RD]])</f>
        <v>0</v>
      </c>
      <c r="O18" s="207"/>
      <c r="P18" s="187"/>
    </row>
    <row r="19" spans="1:16" ht="23.25" customHeight="1" x14ac:dyDescent="0.15">
      <c r="A19" s="197"/>
      <c r="B19" s="198"/>
      <c r="C19" s="220"/>
      <c r="D19" s="203"/>
      <c r="E19" s="199"/>
      <c r="F19" s="201"/>
      <c r="G19" s="126"/>
      <c r="H19" s="204"/>
      <c r="I19" s="200"/>
      <c r="J19" s="200"/>
      <c r="K19" s="200"/>
      <c r="L19" s="200"/>
      <c r="M19" s="205"/>
      <c r="N19" s="72">
        <f>SUM(Tableau_AutresCoûts[[#This Row],[RF]:[RD]])</f>
        <v>0</v>
      </c>
      <c r="O19" s="207"/>
      <c r="P19" s="187"/>
    </row>
    <row r="20" spans="1:16" ht="23.25" customHeight="1" x14ac:dyDescent="0.15">
      <c r="A20" s="197"/>
      <c r="B20" s="198"/>
      <c r="C20" s="220"/>
      <c r="D20" s="203"/>
      <c r="E20" s="199"/>
      <c r="F20" s="201"/>
      <c r="G20" s="126"/>
      <c r="H20" s="204"/>
      <c r="I20" s="200"/>
      <c r="J20" s="200"/>
      <c r="K20" s="200"/>
      <c r="L20" s="200"/>
      <c r="M20" s="205"/>
      <c r="N20" s="72"/>
      <c r="O20" s="207"/>
      <c r="P20" s="187"/>
    </row>
    <row r="21" spans="1:16" ht="13.5" customHeight="1" x14ac:dyDescent="0.15">
      <c r="A21" s="197"/>
      <c r="B21" s="198"/>
      <c r="C21" s="201"/>
      <c r="D21" s="203"/>
      <c r="E21" s="199"/>
      <c r="F21" s="201"/>
      <c r="G21" s="126"/>
      <c r="H21" s="204"/>
      <c r="I21" s="200"/>
      <c r="J21" s="200"/>
      <c r="K21" s="200"/>
      <c r="L21" s="200"/>
      <c r="M21" s="205"/>
      <c r="N21" s="105"/>
      <c r="P21" s="188"/>
    </row>
    <row r="22" spans="1:16" ht="34.5" customHeight="1" thickBot="1" x14ac:dyDescent="0.2">
      <c r="A22" s="208" t="s">
        <v>103</v>
      </c>
      <c r="B22" s="209"/>
      <c r="C22" s="209"/>
      <c r="D22" s="209"/>
      <c r="E22" s="209"/>
      <c r="F22" s="210"/>
      <c r="G22" s="211">
        <f>SUBTOTAL(109,Tableau_AutresCoûts[Montant total de l''opération en €])</f>
        <v>4721.420000000001</v>
      </c>
      <c r="H22" s="212">
        <f>SUBTOTAL(109,Tableau_AutresCoûts[Non éligible])</f>
        <v>0</v>
      </c>
      <c r="I22" s="213">
        <f>SUBTOTAL(109,Tableau_AutresCoûts[RF])</f>
        <v>0</v>
      </c>
      <c r="J22" s="213">
        <f>SUBTOTAL(109,Tableau_AutresCoûts[RI])</f>
        <v>4721.420000000001</v>
      </c>
      <c r="K22" s="214">
        <f>SUBTOTAL(109,Tableau_AutresCoûts[DE])</f>
        <v>0</v>
      </c>
      <c r="L22" s="214"/>
      <c r="M22" s="214"/>
      <c r="N22" s="215">
        <f>SUM(N10:N21)</f>
        <v>4721.420000000001</v>
      </c>
    </row>
    <row r="23" spans="1:16" x14ac:dyDescent="0.15">
      <c r="A23" s="20"/>
      <c r="N23" s="21"/>
    </row>
    <row r="24" spans="1:16" x14ac:dyDescent="0.15">
      <c r="A24" s="262" t="str">
        <f>"Je soussigné "&amp;nom&amp;" "&amp;prenom&amp;", "&amp;fonction&amp;CONCATENATE(", certifie que les autres couts ci-dessus sont imputables à la réalisation du projet : ")&amp;projet</f>
        <v>Je soussigné Pour le Président et par délégation TIXIDOR Stéphanie, Directrice de la Direction des Finances et des Achats, certifie que les autres couts ci-dessus sont imputables à la réalisation du projet : PSI-BIOM</v>
      </c>
      <c r="B24" s="262"/>
      <c r="C24" s="262"/>
      <c r="D24" s="262"/>
      <c r="E24" s="262"/>
      <c r="F24" s="262"/>
      <c r="G24" s="262"/>
      <c r="H24" s="262"/>
      <c r="I24" s="262"/>
      <c r="J24" s="262"/>
      <c r="K24" s="262"/>
      <c r="L24" s="262"/>
      <c r="M24" s="262"/>
      <c r="N24" s="262"/>
    </row>
    <row r="25" spans="1:16" x14ac:dyDescent="0.15">
      <c r="A25" s="20"/>
      <c r="N25" s="21"/>
    </row>
    <row r="26" spans="1:16" ht="16" x14ac:dyDescent="0.2">
      <c r="A26" s="20"/>
      <c r="I26" s="46" t="s">
        <v>60</v>
      </c>
      <c r="J26" s="48">
        <f>+'Données initiales'!C7</f>
        <v>198307662</v>
      </c>
      <c r="N26" s="21"/>
    </row>
    <row r="27" spans="1:16" ht="16" x14ac:dyDescent="0.2">
      <c r="A27" s="20"/>
      <c r="I27" s="46" t="s">
        <v>61</v>
      </c>
      <c r="J27" s="50">
        <f>'Synthèse ERD'!G23</f>
        <v>45845</v>
      </c>
      <c r="N27" s="21"/>
    </row>
    <row r="28" spans="1:16" ht="16" x14ac:dyDescent="0.2">
      <c r="A28" s="20"/>
      <c r="I28" s="46" t="s">
        <v>62</v>
      </c>
      <c r="J28" s="52"/>
      <c r="N28" s="21"/>
    </row>
    <row r="29" spans="1:16" ht="17" x14ac:dyDescent="0.2">
      <c r="A29" s="20"/>
      <c r="J29" s="91"/>
      <c r="K29" s="91"/>
      <c r="L29" s="91"/>
      <c r="M29" s="91"/>
      <c r="N29" s="21"/>
    </row>
    <row r="30" spans="1:16" x14ac:dyDescent="0.15">
      <c r="A30" s="20"/>
      <c r="N30" s="21"/>
    </row>
    <row r="31" spans="1:16" x14ac:dyDescent="0.15">
      <c r="A31" s="20"/>
      <c r="N31" s="21"/>
    </row>
    <row r="32" spans="1:16" x14ac:dyDescent="0.15">
      <c r="A32" s="20" t="s">
        <v>88</v>
      </c>
      <c r="N32" s="21"/>
    </row>
    <row r="33" spans="1:14" ht="15" thickBot="1" x14ac:dyDescent="0.2">
      <c r="A33" s="53" t="s">
        <v>89</v>
      </c>
      <c r="B33" s="54"/>
      <c r="C33" s="54"/>
      <c r="D33" s="54"/>
      <c r="E33" s="54"/>
      <c r="F33" s="54"/>
      <c r="G33" s="54"/>
      <c r="H33" s="54"/>
      <c r="I33" s="54"/>
      <c r="J33" s="54"/>
      <c r="K33" s="54"/>
      <c r="L33" s="54"/>
      <c r="M33" s="54"/>
      <c r="N33" s="55"/>
    </row>
  </sheetData>
  <mergeCells count="9">
    <mergeCell ref="A6:N6"/>
    <mergeCell ref="A7:N7"/>
    <mergeCell ref="A8:N8"/>
    <mergeCell ref="A24:N24"/>
    <mergeCell ref="A2:N2"/>
    <mergeCell ref="A3:N3"/>
    <mergeCell ref="D5:E5"/>
    <mergeCell ref="F5:H5"/>
    <mergeCell ref="K5:N5"/>
  </mergeCells>
  <conditionalFormatting sqref="G10:G15">
    <cfRule type="expression" dxfId="3" priority="1">
      <formula>AND(G10&lt;&gt;"",G10&lt;&gt;(H10+N10))</formula>
    </cfRule>
  </conditionalFormatting>
  <conditionalFormatting sqref="G16:G21">
    <cfRule type="expression" dxfId="2" priority="3">
      <formula>AND(G16&lt;&gt;"",G16&lt;&gt;(H16+N16))</formula>
    </cfRule>
  </conditionalFormatting>
  <dataValidations xWindow="589" yWindow="679" count="5">
    <dataValidation allowBlank="1" showInputMessage="1" showErrorMessage="1" prompt="Merci de reprendre les tâches ou lots décrits dans l'annexe financière" sqref="C10:C21" xr:uid="{00000000-0002-0000-0700-000000000000}">
      <formula1>0</formula1>
      <formula2>0</formula2>
    </dataValidation>
    <dataValidation allowBlank="1" showInputMessage="1" showErrorMessage="1" promptTitle="TVA" prompt="Si non assujetti à la TVA alors le montant à inscrire est TTC _x000a_Si assujetti à la TVA alors le montant à inscrire est Hors Taxe (HT)" sqref="G10:G21" xr:uid="{00000000-0002-0000-0700-000001000000}">
      <formula1>0</formula1>
      <formula2>0</formula2>
    </dataValidation>
    <dataValidation type="list" allowBlank="1" showInputMessage="1" showErrorMessage="1" prompt="Afin d'être éligible, la dépense doit obligatoirement être acquitée" sqref="F10:F21" xr:uid="{00000000-0002-0000-0700-000002000000}">
      <formula1>"Oui,Non"</formula1>
      <formula2>0</formula2>
    </dataValidation>
    <dataValidation type="date" allowBlank="1" showInputMessage="1" showErrorMessage="1" errorTitle="Période de référence" error="Format : jj/mm/aaaa_x000a__x000a_La date doit être entre à la date de début et de fin de la période de référence. " promptTitle="Format" prompt="Merci de saisir une date au format jj/mm/aaaa dans la période de référence" sqref="E10:E21" xr:uid="{00000000-0002-0000-0700-000003000000}">
      <formula1>date_debut</formula1>
      <formula2>date_fin</formula2>
    </dataValidation>
    <dataValidation allowBlank="1" showInputMessage="1" showErrorMessage="1" prompt="Merci de reprendre les tâches ou lots notifiés dans l'annexe financière" sqref="B13 B15" xr:uid="{00000000-0002-0000-0700-000004000000}">
      <formula1>0</formula1>
      <formula2>0</formula2>
    </dataValidation>
  </dataValidations>
  <pageMargins left="0.31527777777777799" right="0.31527777777777799" top="0.74861111111111101" bottom="0.55138888888888904" header="0.31527777777777799" footer="0.31527777777777799"/>
  <pageSetup paperSize="9" scale="53" fitToHeight="0" orientation="landscape" verticalDpi="300" r:id="rId1"/>
  <headerFooter>
    <oddHeader>&amp;R&amp;22&amp;A</oddHeader>
    <oddFooter>&amp;R&amp;22&amp;P/&amp;N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pageSetUpPr fitToPage="1"/>
  </sheetPr>
  <dimension ref="A1:T25"/>
  <sheetViews>
    <sheetView showGridLines="0" topLeftCell="A5" zoomScale="85" zoomScaleNormal="85" workbookViewId="0">
      <selection activeCell="C10" sqref="C10"/>
    </sheetView>
  </sheetViews>
  <sheetFormatPr baseColWidth="10" defaultColWidth="10.6640625" defaultRowHeight="14" x14ac:dyDescent="0.15"/>
  <cols>
    <col min="1" max="1" width="24.33203125" style="18" customWidth="1"/>
    <col min="2" max="2" width="31.6640625" style="18" customWidth="1"/>
    <col min="3" max="3" width="16.5" style="18" customWidth="1"/>
    <col min="4" max="4" width="17.33203125" style="18" customWidth="1"/>
    <col min="5" max="5" width="13.5" style="18" customWidth="1"/>
    <col min="6" max="6" width="14.6640625" style="18" customWidth="1"/>
    <col min="7" max="7" width="11.6640625" style="18" customWidth="1"/>
    <col min="8" max="8" width="11.5" style="18" customWidth="1"/>
    <col min="9" max="9" width="9.6640625" style="18" customWidth="1"/>
    <col min="10" max="11" width="17.6640625" style="18" customWidth="1"/>
    <col min="12" max="12" width="12.33203125" style="18" customWidth="1"/>
    <col min="13" max="20" width="16.6640625" style="18" customWidth="1"/>
    <col min="21" max="16384" width="10.6640625" style="18"/>
  </cols>
  <sheetData>
    <row r="1" spans="1:20" ht="6" customHeight="1" x14ac:dyDescent="0.15"/>
    <row r="2" spans="1:20" ht="56.25" customHeight="1" x14ac:dyDescent="0.15">
      <c r="A2" s="263" t="s">
        <v>90</v>
      </c>
      <c r="B2" s="263"/>
      <c r="C2" s="263"/>
      <c r="D2" s="263"/>
      <c r="E2" s="263"/>
      <c r="F2" s="263"/>
      <c r="G2" s="263"/>
      <c r="H2" s="263"/>
      <c r="I2" s="263"/>
      <c r="J2" s="263"/>
      <c r="K2" s="263"/>
      <c r="L2" s="263"/>
      <c r="M2" s="263"/>
      <c r="N2" s="263"/>
      <c r="O2" s="263"/>
      <c r="P2" s="263"/>
      <c r="Q2" s="263"/>
      <c r="R2" s="263"/>
      <c r="S2" s="263"/>
      <c r="T2" s="263"/>
    </row>
    <row r="3" spans="1:20" ht="42.75" customHeight="1" x14ac:dyDescent="0.15">
      <c r="A3" s="271" t="s">
        <v>104</v>
      </c>
      <c r="B3" s="271"/>
      <c r="C3" s="271"/>
      <c r="D3" s="271"/>
      <c r="E3" s="271"/>
      <c r="F3" s="271"/>
      <c r="G3" s="271"/>
      <c r="H3" s="271"/>
      <c r="I3" s="271"/>
      <c r="J3" s="271"/>
      <c r="K3" s="271"/>
      <c r="L3" s="271"/>
      <c r="M3" s="271"/>
      <c r="N3" s="271"/>
      <c r="O3" s="271"/>
      <c r="P3" s="271"/>
      <c r="Q3" s="271"/>
      <c r="R3" s="271"/>
      <c r="S3" s="271"/>
      <c r="T3" s="271"/>
    </row>
    <row r="4" spans="1:20" x14ac:dyDescent="0.15">
      <c r="B4" s="92"/>
    </row>
    <row r="5" spans="1:20" ht="30" customHeight="1" x14ac:dyDescent="0.2">
      <c r="A5" s="93" t="s">
        <v>67</v>
      </c>
      <c r="B5" s="26" t="str">
        <f>projet</f>
        <v>PSI-BIOM</v>
      </c>
      <c r="C5" s="58"/>
      <c r="D5" s="58"/>
      <c r="E5" s="58"/>
      <c r="F5" s="58"/>
      <c r="G5" s="268" t="s">
        <v>43</v>
      </c>
      <c r="H5" s="268"/>
      <c r="I5" s="267" t="str">
        <f>beneficiaire</f>
        <v>UNIVERSITE DE TOULON</v>
      </c>
      <c r="J5" s="267"/>
      <c r="K5" s="267"/>
      <c r="L5" s="147"/>
      <c r="M5" s="58"/>
      <c r="N5" s="58"/>
      <c r="O5" s="58"/>
      <c r="P5" s="25" t="s">
        <v>44</v>
      </c>
      <c r="Q5" s="269" t="str">
        <f>num_convention</f>
        <v xml:space="preserve"> 2182D0406-C</v>
      </c>
      <c r="R5" s="269"/>
      <c r="S5" s="269"/>
      <c r="T5" s="269"/>
    </row>
    <row r="6" spans="1:20" ht="19.5" customHeight="1" x14ac:dyDescent="0.15">
      <c r="A6" s="259" t="str">
        <f>"  Etat d'avancement de la période du "&amp;TEXT(date_debut,"jj/mm/aaaa")&amp;" au "&amp;TEXT(date_fin,"jj/mm/aaaa")</f>
        <v xml:space="preserve">  Etat d'avancement de la période du 20/12/2021 au 20/06/2025</v>
      </c>
      <c r="B6" s="259"/>
      <c r="C6" s="259"/>
      <c r="D6" s="259"/>
      <c r="E6" s="259"/>
      <c r="F6" s="259"/>
      <c r="G6" s="259"/>
      <c r="H6" s="259"/>
      <c r="I6" s="259"/>
      <c r="J6" s="259"/>
      <c r="K6" s="259"/>
      <c r="L6" s="259"/>
      <c r="M6" s="259"/>
      <c r="N6" s="259"/>
      <c r="O6" s="259"/>
      <c r="P6" s="259"/>
      <c r="Q6" s="259"/>
      <c r="R6" s="259"/>
      <c r="S6" s="259"/>
      <c r="T6" s="259"/>
    </row>
    <row r="7" spans="1:20" ht="19.5" customHeight="1" x14ac:dyDescent="0.15">
      <c r="A7" s="259" t="str">
        <f>IF('Données initiales'!C15="Solde", 'Données initiales'!C15, +" Etape clé "&amp;num_etape)</f>
        <v>Solde</v>
      </c>
      <c r="B7" s="259"/>
      <c r="C7" s="259"/>
      <c r="D7" s="259"/>
      <c r="E7" s="259"/>
      <c r="F7" s="259"/>
      <c r="G7" s="259"/>
      <c r="H7" s="259"/>
      <c r="I7" s="259"/>
      <c r="J7" s="259"/>
      <c r="K7" s="259"/>
      <c r="L7" s="259"/>
      <c r="M7" s="259"/>
      <c r="N7" s="259"/>
      <c r="O7" s="259"/>
      <c r="P7" s="259"/>
      <c r="Q7" s="259"/>
      <c r="R7" s="259"/>
      <c r="S7" s="259"/>
      <c r="T7" s="259"/>
    </row>
    <row r="8" spans="1:20" ht="19.5" customHeight="1" x14ac:dyDescent="0.15">
      <c r="A8" s="270" t="s">
        <v>105</v>
      </c>
      <c r="B8" s="270"/>
      <c r="C8" s="270"/>
      <c r="D8" s="270"/>
      <c r="E8" s="270"/>
      <c r="F8" s="270"/>
      <c r="G8" s="270"/>
      <c r="H8" s="270"/>
      <c r="I8" s="270"/>
      <c r="J8" s="270"/>
      <c r="K8" s="270"/>
      <c r="L8" s="270"/>
      <c r="M8" s="270"/>
      <c r="N8" s="270"/>
      <c r="O8" s="270"/>
      <c r="P8" s="270"/>
      <c r="Q8" s="270"/>
      <c r="R8" s="270"/>
      <c r="S8" s="270"/>
      <c r="T8" s="270"/>
    </row>
    <row r="9" spans="1:20" ht="82.5" customHeight="1" x14ac:dyDescent="0.15">
      <c r="A9" s="59" t="s">
        <v>106</v>
      </c>
      <c r="B9" s="63" t="s">
        <v>81</v>
      </c>
      <c r="C9" s="61" t="s">
        <v>82</v>
      </c>
      <c r="D9" s="94" t="s">
        <v>83</v>
      </c>
      <c r="E9" s="95" t="s">
        <v>107</v>
      </c>
      <c r="F9" s="95" t="s">
        <v>108</v>
      </c>
      <c r="G9" s="96" t="s">
        <v>109</v>
      </c>
      <c r="H9" s="96" t="s">
        <v>110</v>
      </c>
      <c r="I9" s="96" t="s">
        <v>111</v>
      </c>
      <c r="J9" s="96" t="s">
        <v>112</v>
      </c>
      <c r="K9" s="96" t="s">
        <v>113</v>
      </c>
      <c r="L9" s="148" t="s">
        <v>114</v>
      </c>
      <c r="M9" s="149" t="s">
        <v>77</v>
      </c>
      <c r="N9" s="63" t="s">
        <v>47</v>
      </c>
      <c r="O9" s="60" t="s">
        <v>48</v>
      </c>
      <c r="P9" s="60" t="s">
        <v>49</v>
      </c>
      <c r="Q9" s="61" t="s">
        <v>50</v>
      </c>
      <c r="R9" s="61" t="s">
        <v>51</v>
      </c>
      <c r="S9" s="61" t="s">
        <v>52</v>
      </c>
      <c r="T9" s="64" t="s">
        <v>181</v>
      </c>
    </row>
    <row r="10" spans="1:20" ht="75" x14ac:dyDescent="0.15">
      <c r="A10" s="65" t="s">
        <v>157</v>
      </c>
      <c r="B10" s="150" t="s">
        <v>158</v>
      </c>
      <c r="C10" s="99" t="s">
        <v>190</v>
      </c>
      <c r="D10" s="151">
        <v>9028497919</v>
      </c>
      <c r="E10" s="67">
        <v>44915</v>
      </c>
      <c r="F10" s="152">
        <v>11831.34</v>
      </c>
      <c r="G10" s="98">
        <v>5</v>
      </c>
      <c r="H10" s="153">
        <v>0.2</v>
      </c>
      <c r="I10" s="154" t="s">
        <v>159</v>
      </c>
      <c r="J10" s="152">
        <f>IF(Tableau_Amortissements[[#This Row],[Type linéaire (L) ou dégressif (D)]]="L",Tableau_Amortissements[[#This Row],[Valeur d''origine en €]]*Tableau_Amortissements[[#This Row],[Taux d''amortissement comptable]],IF(Tableau_Amortissements[[#This Row],[Type linéaire (L) ou dégressif (D)]]="D","A justifier en annexe",0))</f>
        <v>2366.268</v>
      </c>
      <c r="K10" s="152">
        <f>IF(IF(Tableau_Amortissements[[#This Row],[Type linéaire (L) ou dégressif (D)]]="D","Saisie manuelle",IF(Tableau_Amortissements[[#This Row],[Type linéaire (L) ou dégressif (D)]]="L",IF(AND($E$10:$E$13&gt;=date_debut,((DAYS360($E$10:$E$13,date_fin))/360*Tableau_Amortissements[[#This Row],[Montant amortissement annuel en €]])&gt;Tableau_Amortissements[[#This Row],[Valeur d''origine en €]]),Tableau_Amortissements[[#This Row],[Valeur d''origine en €]],IF(AND($E$10:$E$13&gt;=date_debut,((DAYS360($E$10:$E$13,date_fin))/360*Tableau_Amortissements[[#This Row],[Montant amortissement annuel en €]])&lt;=Tableau_Amortissements[[#This Row],[Valeur d''origine en €]]),(DAYS360($E$10:$E$13,date_fin))/360*Tableau_Amortissements[[#This Row],[Montant amortissement annuel en €]],IF(($E$10:$E$13&lt;date_debut),(DAYS360(date_debut,date_fin))/360*Tableau_Amortissements[[#This Row],[Montant amortissement annuel en €]],"")))))=FALSE(),0,IF(Tableau_Amortissements[[#This Row],[Type linéaire (L) ou dégressif (D)]]="D","Saisie manuelle",IF(Tableau_Amortissements[[#This Row],[Type linéaire (L) ou dégressif (D)]]="L",IF(AND($E$10:$E$13&gt;=date_debut,((DAYS360($E$10:$E$13,date_fin))/360*Tableau_Amortissements[[#This Row],[Montant amortissement annuel en €]])&gt;Tableau_Amortissements[[#This Row],[Valeur d''origine en €]]),Tableau_Amortissements[[#This Row],[Valeur d''origine en €]],IF(AND($E$10:$E$13&gt;=date_debut,((DAYS360($E$10:$E$13,date_fin))/360*Tableau_Amortissements[[#This Row],[Montant amortissement annuel en €]])&lt;=Tableau_Amortissements[[#This Row],[Valeur d''origine en €]]),(DAYS360($E$10:$E$13,date_fin))/360*Tableau_Amortissements[[#This Row],[Montant amortissement annuel en €]],IF(($E$10:$E$13&lt;date_debut),(DAYS360(date_debut,date_fin))/360*Tableau_Amortissements[[#This Row],[Montant amortissement annuel en €]],""))))))</f>
        <v>5915.67</v>
      </c>
      <c r="L10" s="155">
        <v>0.5</v>
      </c>
      <c r="M10" s="156">
        <f>IF(Tableau_Amortissements[[#This Row],[Type linéaire (L) ou dégressif (D)]]="D","",IF(Tableau_Amortissements[[#This Row],[Type linéaire (L) ou dégressif (D)]]="L",Tableau_Amortissements[[#This Row],[Quote part d''utilisation sur le projet  (en %)]]*Tableau_Amortissements[[#This Row],[Montant  justifié sur période ERD]],0))</f>
        <v>2957.835</v>
      </c>
      <c r="N10" s="70"/>
      <c r="O10" s="71"/>
      <c r="P10" s="71"/>
      <c r="Q10" s="68">
        <v>2957.84</v>
      </c>
      <c r="R10" s="68"/>
      <c r="S10" s="68"/>
      <c r="T10" s="72">
        <f>IF(OR(Tableau_Amortissements[[#This Row],[RF]]&lt;&gt;"",Tableau_Amortissements[[#This Row],[RI]]&lt;&gt;"",Tableau_Amortissements[[#This Row],[DE]]&lt;&gt;"",Tableau_Amortissements[[#This Row],[PE]]&lt;&gt;"",Tableau_Amortissements[[#This Row],[RD]]&lt;&gt;""),Tableau_Amortissements[[#This Row],[RF]]+Tableau_Amortissements[[#This Row],[RI]]+Tableau_Amortissements[[#This Row],[DE]]+Tableau_Amortissements[[#This Row],[PE]]+Tableau_Amortissements[[#This Row],[RD]],0)</f>
        <v>2957.84</v>
      </c>
    </row>
    <row r="11" spans="1:20" ht="20.25" customHeight="1" x14ac:dyDescent="0.15">
      <c r="A11" s="157"/>
      <c r="B11" s="150"/>
      <c r="C11" s="158"/>
      <c r="D11" s="159"/>
      <c r="E11" s="160"/>
      <c r="F11" s="161"/>
      <c r="G11" s="162"/>
      <c r="H11" s="163" t="str">
        <f>IF(ISERR(1/Tableau_Amortissements[[#This Row],[Durée d''amortissement comptable (en année)]]),"0%",1/Tableau_Amortissements[[#This Row],[Durée d''amortissement comptable (en année)]])</f>
        <v>0%</v>
      </c>
      <c r="I11" s="164"/>
      <c r="J11" s="152">
        <f>IF(Tableau_Amortissements[[#This Row],[Type linéaire (L) ou dégressif (D)]]="L",Tableau_Amortissements[[#This Row],[Valeur d''origine en €]]*Tableau_Amortissements[[#This Row],[Taux d''amortissement comptable]],IF(Tableau_Amortissements[[#This Row],[Type linéaire (L) ou dégressif (D)]]="D","A justifier en annexe",0))</f>
        <v>0</v>
      </c>
      <c r="K11" s="161">
        <f>IF(IF(Tableau_Amortissements[[#This Row],[Type linéaire (L) ou dégressif (D)]]="D","Saisie manuelle",IF(Tableau_Amortissements[[#This Row],[Type linéaire (L) ou dégressif (D)]]="L",IF(AND($E$10:$E$14&gt;=date_debut,((DAYS360($E$10:$E$14,date_fin))/360*Tableau_Amortissements[[#This Row],[Montant amortissement annuel en €]])&gt;Tableau_Amortissements[[#This Row],[Valeur d''origine en €]]),Tableau_Amortissements[[#This Row],[Valeur d''origine en €]],IF(AND($E$10:$E$14&gt;=date_debut,((DAYS360($E$10:$E$14,date_fin))/360*Tableau_Amortissements[[#This Row],[Montant amortissement annuel en €]])&lt;=Tableau_Amortissements[[#This Row],[Valeur d''origine en €]]),(DAYS360($E$10:$E$14,date_fin))/360*Tableau_Amortissements[[#This Row],[Montant amortissement annuel en €]],IF(($E$10:$E$14&lt;date_debut),(DAYS360(date_debut,date_fin))/360*Tableau_Amortissements[[#This Row],[Montant amortissement annuel en €]],"")))))=FALSE(),0,IF(Tableau_Amortissements[[#This Row],[Type linéaire (L) ou dégressif (D)]]="D","Saisie manuelle",IF(Tableau_Amortissements[[#This Row],[Type linéaire (L) ou dégressif (D)]]="L",IF(AND($E$10:$E$14&gt;=date_debut,((DAYS360($E$10:$E$14,date_fin))/360*Tableau_Amortissements[[#This Row],[Montant amortissement annuel en €]])&gt;Tableau_Amortissements[[#This Row],[Valeur d''origine en €]]),Tableau_Amortissements[[#This Row],[Valeur d''origine en €]],IF(AND($E$10:$E$14&gt;=date_debut,((DAYS360($E$10:$E$14,date_fin))/360*Tableau_Amortissements[[#This Row],[Montant amortissement annuel en €]])&lt;=Tableau_Amortissements[[#This Row],[Valeur d''origine en €]]),(DAYS360($E$10:$E$14,date_fin))/360*Tableau_Amortissements[[#This Row],[Montant amortissement annuel en €]],IF(($E$10:$E$14&lt;date_debut),(DAYS360(date_debut,date_fin))/360*Tableau_Amortissements[[#This Row],[Montant amortissement annuel en €]],""))))))</f>
        <v>0</v>
      </c>
      <c r="L11" s="155"/>
      <c r="M11" s="165">
        <f>IF(Tableau_Amortissements[[#This Row],[Type linéaire (L) ou dégressif (D)]]="D","",IF(Tableau_Amortissements[[#This Row],[Type linéaire (L) ou dégressif (D)]]="L",Tableau_Amortissements[[#This Row],[Quote part d''utilisation sur le projet  (en %)]]*Tableau_Amortissements[[#This Row],[Montant  justifié sur période ERD]],0))</f>
        <v>0</v>
      </c>
      <c r="N11" s="166"/>
      <c r="O11" s="166"/>
      <c r="P11" s="166"/>
      <c r="Q11" s="166"/>
      <c r="R11" s="166"/>
      <c r="S11" s="166"/>
      <c r="T11" s="167">
        <f>IF(OR(Tableau_Amortissements[[#This Row],[RF]]&lt;&gt;"",Tableau_Amortissements[[#This Row],[RI]]&lt;&gt;"",Tableau_Amortissements[[#This Row],[DE]]&lt;&gt;"",Tableau_Amortissements[[#This Row],[PE]]&lt;&gt;"",Tableau_Amortissements[[#This Row],[RD]]&lt;&gt;""),Tableau_Amortissements[[#This Row],[RF]]+Tableau_Amortissements[[#This Row],[RI]]+Tableau_Amortissements[[#This Row],[DE]]+Tableau_Amortissements[[#This Row],[PE]]+Tableau_Amortissements[[#This Row],[RD]],0)</f>
        <v>0</v>
      </c>
    </row>
    <row r="12" spans="1:20" ht="20.25" customHeight="1" x14ac:dyDescent="0.15">
      <c r="A12" s="106"/>
      <c r="B12" s="219"/>
      <c r="C12" s="99"/>
      <c r="D12" s="151"/>
      <c r="E12" s="67"/>
      <c r="F12" s="152"/>
      <c r="G12" s="98"/>
      <c r="H12" s="153" t="str">
        <f>IF(ISERR(1/Tableau_Amortissements[[#This Row],[Durée d''amortissement comptable (en année)]]),"0%",1/Tableau_Amortissements[[#This Row],[Durée d''amortissement comptable (en année)]])</f>
        <v>0%</v>
      </c>
      <c r="I12" s="154"/>
      <c r="J12" s="152">
        <f>IF(Tableau_Amortissements[[#This Row],[Type linéaire (L) ou dégressif (D)]]="L",Tableau_Amortissements[[#This Row],[Valeur d''origine en €]]*Tableau_Amortissements[[#This Row],[Taux d''amortissement comptable]],IF(Tableau_Amortissements[[#This Row],[Type linéaire (L) ou dégressif (D)]]="D","A justifier en annexe",0))</f>
        <v>0</v>
      </c>
      <c r="K12" s="152">
        <f>IF(IF(Tableau_Amortissements[[#This Row],[Type linéaire (L) ou dégressif (D)]]="D","Saisie manuelle",IF(Tableau_Amortissements[[#This Row],[Type linéaire (L) ou dégressif (D)]]="L",IF(AND($E$10:$E$13&gt;=date_debut,((DAYS360($E$10:$E$13,date_fin))/360*Tableau_Amortissements[[#This Row],[Montant amortissement annuel en €]])&gt;Tableau_Amortissements[[#This Row],[Valeur d''origine en €]]),Tableau_Amortissements[[#This Row],[Valeur d''origine en €]],IF(AND($E$10:$E$13&gt;=date_debut,((DAYS360($E$10:$E$13,date_fin))/360*Tableau_Amortissements[[#This Row],[Montant amortissement annuel en €]])&lt;=Tableau_Amortissements[[#This Row],[Valeur d''origine en €]]),(DAYS360($E$10:$E$13,date_fin))/360*Tableau_Amortissements[[#This Row],[Montant amortissement annuel en €]],IF(($E$10:$E$13&lt;date_debut),(DAYS360(date_debut,date_fin))/360*Tableau_Amortissements[[#This Row],[Montant amortissement annuel en €]],"")))))=FALSE(),0,IF(Tableau_Amortissements[[#This Row],[Type linéaire (L) ou dégressif (D)]]="D","Saisie manuelle",IF(Tableau_Amortissements[[#This Row],[Type linéaire (L) ou dégressif (D)]]="L",IF(AND($E$10:$E$13&gt;=date_debut,((DAYS360($E$10:$E$13,date_fin))/360*Tableau_Amortissements[[#This Row],[Montant amortissement annuel en €]])&gt;Tableau_Amortissements[[#This Row],[Valeur d''origine en €]]),Tableau_Amortissements[[#This Row],[Valeur d''origine en €]],IF(AND($E$10:$E$13&gt;=date_debut,((DAYS360($E$10:$E$13,date_fin))/360*Tableau_Amortissements[[#This Row],[Montant amortissement annuel en €]])&lt;=Tableau_Amortissements[[#This Row],[Valeur d''origine en €]]),(DAYS360($E$10:$E$13,date_fin))/360*Tableau_Amortissements[[#This Row],[Montant amortissement annuel en €]],IF(($E$10:$E$13&lt;date_debut),(DAYS360(date_debut,date_fin))/360*Tableau_Amortissements[[#This Row],[Montant amortissement annuel en €]],""))))))</f>
        <v>0</v>
      </c>
      <c r="L12" s="155"/>
      <c r="M12" s="156">
        <f>IF(Tableau_Amortissements[[#This Row],[Type linéaire (L) ou dégressif (D)]]="D","",IF(Tableau_Amortissements[[#This Row],[Type linéaire (L) ou dégressif (D)]]="L",Tableau_Amortissements[[#This Row],[Quote part d''utilisation sur le projet  (en %)]]*Tableau_Amortissements[[#This Row],[Montant  justifié sur période ERD]],0))</f>
        <v>0</v>
      </c>
      <c r="N12" s="70"/>
      <c r="O12" s="71"/>
      <c r="P12" s="71"/>
      <c r="Q12" s="68"/>
      <c r="R12" s="68"/>
      <c r="S12" s="68"/>
      <c r="T12" s="72">
        <f>IF(OR(Tableau_Amortissements[[#This Row],[RF]]&lt;&gt;"",Tableau_Amortissements[[#This Row],[RI]]&lt;&gt;"",Tableau_Amortissements[[#This Row],[DE]]&lt;&gt;"",Tableau_Amortissements[[#This Row],[PE]]&lt;&gt;"",Tableau_Amortissements[[#This Row],[RD]]&lt;&gt;""),Tableau_Amortissements[[#This Row],[RF]]+Tableau_Amortissements[[#This Row],[RI]]+Tableau_Amortissements[[#This Row],[DE]]+Tableau_Amortissements[[#This Row],[PE]]+Tableau_Amortissements[[#This Row],[RD]],0)</f>
        <v>0</v>
      </c>
    </row>
    <row r="13" spans="1:20" ht="20.25" customHeight="1" x14ac:dyDescent="0.15">
      <c r="A13" s="127"/>
      <c r="B13" s="168"/>
      <c r="C13" s="137"/>
      <c r="D13" s="169"/>
      <c r="E13" s="80"/>
      <c r="F13" s="170"/>
      <c r="G13" s="136"/>
      <c r="H13" s="171" t="str">
        <f>IF(ISERR(1/Tableau_Amortissements[[#This Row],[Durée d''amortissement comptable (en année)]]),"0%",1/Tableau_Amortissements[[#This Row],[Durée d''amortissement comptable (en année)]])</f>
        <v>0%</v>
      </c>
      <c r="I13" s="172"/>
      <c r="J13" s="170">
        <f>IF(Tableau_Amortissements[[#This Row],[Type linéaire (L) ou dégressif (D)]]="L",Tableau_Amortissements[[#This Row],[Valeur d''origine en €]]*Tableau_Amortissements[[#This Row],[Taux d''amortissement comptable]],IF(Tableau_Amortissements[[#This Row],[Type linéaire (L) ou dégressif (D)]]="D","A justifier en annexe",0))</f>
        <v>0</v>
      </c>
      <c r="K13" s="170">
        <f>IF(IF(Tableau_Amortissements[[#This Row],[Type linéaire (L) ou dégressif (D)]]="D","Saisie manuelle",IF(Tableau_Amortissements[[#This Row],[Type linéaire (L) ou dégressif (D)]]="L",IF(AND($E$10:$E$13&gt;=date_debut,((DAYS360($E$10:$E$13,date_fin))/360*Tableau_Amortissements[[#This Row],[Montant amortissement annuel en €]])&gt;Tableau_Amortissements[[#This Row],[Valeur d''origine en €]]),Tableau_Amortissements[[#This Row],[Valeur d''origine en €]],IF(AND($E$10:$E$13&gt;=date_debut,((DAYS360($E$10:$E$13,date_fin))/360*Tableau_Amortissements[[#This Row],[Montant amortissement annuel en €]])&lt;=Tableau_Amortissements[[#This Row],[Valeur d''origine en €]]),(DAYS360($E$10:$E$13,date_fin))/360*Tableau_Amortissements[[#This Row],[Montant amortissement annuel en €]],IF(($E$10:$E$13&lt;date_debut),(DAYS360(date_debut,date_fin))/360*Tableau_Amortissements[[#This Row],[Montant amortissement annuel en €]],"")))))=FALSE(),0,IF(Tableau_Amortissements[[#This Row],[Type linéaire (L) ou dégressif (D)]]="D","Saisie manuelle",IF(Tableau_Amortissements[[#This Row],[Type linéaire (L) ou dégressif (D)]]="L",IF(AND($E$10:$E$13&gt;=date_debut,((DAYS360($E$10:$E$13,date_fin))/360*Tableau_Amortissements[[#This Row],[Montant amortissement annuel en €]])&gt;Tableau_Amortissements[[#This Row],[Valeur d''origine en €]]),Tableau_Amortissements[[#This Row],[Valeur d''origine en €]],IF(AND($E$10:$E$13&gt;=date_debut,((DAYS360($E$10:$E$13,date_fin))/360*Tableau_Amortissements[[#This Row],[Montant amortissement annuel en €]])&lt;=Tableau_Amortissements[[#This Row],[Valeur d''origine en €]]),(DAYS360($E$10:$E$13,date_fin))/360*Tableau_Amortissements[[#This Row],[Montant amortissement annuel en €]],IF(($E$10:$E$13&lt;date_debut),(DAYS360(date_debut,date_fin))/360*Tableau_Amortissements[[#This Row],[Montant amortissement annuel en €]],""))))))</f>
        <v>0</v>
      </c>
      <c r="L13" s="173"/>
      <c r="M13" s="74">
        <f>IF(Tableau_Amortissements[[#This Row],[Type linéaire (L) ou dégressif (D)]]="D","",IF(Tableau_Amortissements[[#This Row],[Type linéaire (L) ou dégressif (D)]]="L",Tableau_Amortissements[[#This Row],[Quote part d''utilisation sur le projet  (en %)]]*Tableau_Amortissements[[#This Row],[Montant  justifié sur période ERD]],0))</f>
        <v>0</v>
      </c>
      <c r="N13" s="75"/>
      <c r="O13" s="76"/>
      <c r="P13" s="76"/>
      <c r="Q13" s="77"/>
      <c r="R13" s="77"/>
      <c r="S13" s="77"/>
      <c r="T13" s="78">
        <f>IF(OR(Tableau_Amortissements[[#This Row],[RF]]&lt;&gt;"",Tableau_Amortissements[[#This Row],[RI]]&lt;&gt;"",Tableau_Amortissements[[#This Row],[DE]]&lt;&gt;"",Tableau_Amortissements[[#This Row],[PE]]&lt;&gt;"",Tableau_Amortissements[[#This Row],[RD]]&lt;&gt;""),Tableau_Amortissements[[#This Row],[RF]]+Tableau_Amortissements[[#This Row],[RI]]+Tableau_Amortissements[[#This Row],[DE]]+Tableau_Amortissements[[#This Row],[PE]]+Tableau_Amortissements[[#This Row],[RD]],0)</f>
        <v>0</v>
      </c>
    </row>
    <row r="14" spans="1:20" ht="23.25" customHeight="1" x14ac:dyDescent="0.2">
      <c r="A14" s="143" t="s">
        <v>115</v>
      </c>
      <c r="B14" s="174"/>
      <c r="C14" s="144"/>
      <c r="D14" s="144"/>
      <c r="E14" s="144"/>
      <c r="F14" s="175"/>
      <c r="G14" s="175"/>
      <c r="H14" s="176"/>
      <c r="I14" s="175"/>
      <c r="J14" s="175"/>
      <c r="K14" s="175"/>
      <c r="L14" s="177"/>
      <c r="M14" s="86">
        <f>SUBTOTAL(109,Tableau_Amortissements[Montant total de l''opération en €])</f>
        <v>2957.835</v>
      </c>
      <c r="N14" s="138">
        <f>SUBTOTAL(109,Tableau_Amortissements[Non éligible])</f>
        <v>0</v>
      </c>
      <c r="O14" s="139">
        <f>SUBTOTAL(109,Tableau_Amortissements[RF])</f>
        <v>0</v>
      </c>
      <c r="P14" s="139">
        <f>SUBTOTAL(109,Tableau_Amortissements[RI])</f>
        <v>0</v>
      </c>
      <c r="Q14" s="140">
        <f>SUBTOTAL(109,Tableau_Amortissements[DE])</f>
        <v>2957.84</v>
      </c>
      <c r="R14" s="140">
        <f>SUBTOTAL(109,Tableau_Amortissements[PE])</f>
        <v>0</v>
      </c>
      <c r="S14" s="140">
        <f>SUBTOTAL(109,Tableau_Amortissements[RD])</f>
        <v>0</v>
      </c>
      <c r="T14" s="140">
        <f>T10</f>
        <v>2957.84</v>
      </c>
    </row>
    <row r="15" spans="1:20" ht="15" customHeight="1" x14ac:dyDescent="0.15">
      <c r="A15" s="20"/>
      <c r="T15" s="21"/>
    </row>
    <row r="16" spans="1:20" ht="27" customHeight="1" x14ac:dyDescent="0.15">
      <c r="A16" s="262" t="str">
        <f>"Je soussigné "&amp;nom&amp;" "&amp;prenom&amp;", "&amp;fonction&amp;CONCATENATE(", certifie que les dépenses amortissables ci-dessus sont imputables à la réalisation du projet : ")&amp;projet</f>
        <v>Je soussigné Pour le Président et par délégation TIXIDOR Stéphanie, Directrice de la Direction des Finances et des Achats, certifie que les dépenses amortissables ci-dessus sont imputables à la réalisation du projet : PSI-BIOM</v>
      </c>
      <c r="B16" s="262"/>
      <c r="C16" s="262"/>
      <c r="D16" s="262"/>
      <c r="E16" s="262"/>
      <c r="F16" s="262"/>
      <c r="G16" s="262"/>
      <c r="H16" s="262"/>
      <c r="I16" s="262"/>
      <c r="J16" s="262"/>
      <c r="K16" s="262"/>
      <c r="L16" s="262"/>
      <c r="M16" s="262"/>
      <c r="N16" s="262"/>
      <c r="O16" s="262"/>
      <c r="P16" s="262"/>
      <c r="Q16" s="262"/>
      <c r="R16" s="262"/>
      <c r="S16" s="262"/>
      <c r="T16" s="262"/>
    </row>
    <row r="17" spans="1:20" x14ac:dyDescent="0.15">
      <c r="A17" s="20"/>
      <c r="T17" s="21"/>
    </row>
    <row r="18" spans="1:20" ht="16" x14ac:dyDescent="0.2">
      <c r="A18" s="20"/>
      <c r="O18" s="46" t="s">
        <v>60</v>
      </c>
      <c r="P18" s="48">
        <f>+'Données initiales'!C7</f>
        <v>198307662</v>
      </c>
      <c r="T18" s="21"/>
    </row>
    <row r="19" spans="1:20" ht="16" x14ac:dyDescent="0.2">
      <c r="A19" s="20"/>
      <c r="O19" s="46" t="s">
        <v>61</v>
      </c>
      <c r="P19" s="50">
        <f>'Synthèse ERD'!G23</f>
        <v>45845</v>
      </c>
      <c r="T19" s="21"/>
    </row>
    <row r="20" spans="1:20" ht="16" x14ac:dyDescent="0.2">
      <c r="A20" s="20"/>
      <c r="O20" s="46" t="s">
        <v>62</v>
      </c>
      <c r="P20" s="52"/>
      <c r="T20" s="21"/>
    </row>
    <row r="21" spans="1:20" ht="17" x14ac:dyDescent="0.2">
      <c r="A21" s="20"/>
      <c r="P21" s="91"/>
      <c r="Q21" s="91"/>
      <c r="R21" s="91"/>
      <c r="S21" s="91"/>
      <c r="T21" s="21"/>
    </row>
    <row r="22" spans="1:20" x14ac:dyDescent="0.15">
      <c r="A22" s="20"/>
      <c r="K22" s="237"/>
      <c r="T22" s="21"/>
    </row>
    <row r="23" spans="1:20" x14ac:dyDescent="0.15">
      <c r="A23" s="20"/>
      <c r="T23" s="21"/>
    </row>
    <row r="24" spans="1:20" x14ac:dyDescent="0.15">
      <c r="A24" s="20"/>
      <c r="T24" s="21"/>
    </row>
    <row r="25" spans="1:20" x14ac:dyDescent="0.15">
      <c r="A25" s="53"/>
      <c r="B25" s="54"/>
      <c r="C25" s="54"/>
      <c r="D25" s="54"/>
      <c r="E25" s="54"/>
      <c r="F25" s="54"/>
      <c r="G25" s="54"/>
      <c r="H25" s="54"/>
      <c r="I25" s="54"/>
      <c r="J25" s="54"/>
      <c r="K25" s="54"/>
      <c r="L25" s="54"/>
      <c r="M25" s="54"/>
      <c r="N25" s="54"/>
      <c r="O25" s="54"/>
      <c r="P25" s="54"/>
      <c r="Q25" s="54"/>
      <c r="R25" s="54"/>
      <c r="S25" s="54"/>
      <c r="T25" s="55"/>
    </row>
  </sheetData>
  <mergeCells count="9">
    <mergeCell ref="A6:T6"/>
    <mergeCell ref="A7:T7"/>
    <mergeCell ref="A8:T8"/>
    <mergeCell ref="A16:T16"/>
    <mergeCell ref="A2:T2"/>
    <mergeCell ref="A3:T3"/>
    <mergeCell ref="G5:H5"/>
    <mergeCell ref="I5:K5"/>
    <mergeCell ref="Q5:T5"/>
  </mergeCells>
  <conditionalFormatting sqref="M10:M13">
    <cfRule type="expression" dxfId="1" priority="2">
      <formula>AND(M10&lt;&gt;"",M10&lt;&gt;(N10+T10))</formula>
    </cfRule>
  </conditionalFormatting>
  <dataValidations count="6">
    <dataValidation allowBlank="1" showErrorMessage="1" sqref="M10:M13" xr:uid="{00000000-0002-0000-0800-000000000000}">
      <formula1>0</formula1>
      <formula2>0</formula2>
    </dataValidation>
    <dataValidation allowBlank="1" showInputMessage="1" showErrorMessage="1" prompt="Merci de reprendre les tâches ou lots décrits dans l'annexe financière" sqref="C10:C13" xr:uid="{00000000-0002-0000-0800-000001000000}">
      <formula1>0</formula1>
      <formula2>0</formula2>
    </dataValidation>
    <dataValidation allowBlank="1" showInputMessage="1" showErrorMessage="1" promptTitle="TVA" prompt="Si non assujetti à la TVA alors le montant à inscrire est TTC _x000a_Si assujetti à la TVA alors le montant à inscrire est Hors Taxe (HT)" sqref="F10:F13" xr:uid="{00000000-0002-0000-0800-000002000000}">
      <formula1>0</formula1>
      <formula2>0</formula2>
    </dataValidation>
    <dataValidation allowBlank="1" showInputMessage="1" showErrorMessage="1" prompt="Merci de saisir une date au format jj/mm/aaaa" sqref="E10:E13" xr:uid="{00000000-0002-0000-0800-000003000000}">
      <formula1>0</formula1>
      <formula2>0</formula2>
    </dataValidation>
    <dataValidation type="list" allowBlank="1" showInputMessage="1" showErrorMessage="1" sqref="I10:I13" xr:uid="{00000000-0002-0000-0800-000004000000}">
      <formula1>"L,D"</formula1>
      <formula2>0</formula2>
    </dataValidation>
    <dataValidation allowBlank="1" showInputMessage="1" showErrorMessage="1" prompt="Merci de reprendre les tâches ou lots notifiés dans l'annexe financière" sqref="B12" xr:uid="{00000000-0002-0000-0800-000005000000}">
      <formula1>0</formula1>
      <formula2>0</formula2>
    </dataValidation>
  </dataValidations>
  <pageMargins left="0.51180555555555596" right="0.51180555555555596" top="0.74861111111111101" bottom="0.55138888888888904" header="0.31527777777777799" footer="0.31527777777777799"/>
  <pageSetup paperSize="9" scale="41" fitToHeight="0" orientation="landscape" verticalDpi="300" r:id="rId1"/>
  <headerFooter>
    <oddHeader>&amp;R&amp;22&amp;A</oddHeader>
    <oddFooter>&amp;R&amp;22&amp;P/&amp;N</oddFooter>
  </headerFooter>
  <tableParts count="1">
    <tablePart r:id="rId2"/>
  </tableParts>
</worksheet>
</file>

<file path=docMetadata/LabelInfo.xml><?xml version="1.0" encoding="utf-8"?>
<clbl:labelList xmlns:clbl="http://schemas.microsoft.com/office/2020/mipLabelMetadata">
  <clbl:label id="{98ce3bfb-fff1-481a-835b-0a342757958d}" enabled="1" method="Standard" siteId="{cb6c2492-4a85-4b15-85a1-ed94d47e5849}" contentBits="0" removed="0"/>
</clbl:labelList>
</file>

<file path=docProps/app.xml><?xml version="1.0" encoding="utf-8"?>
<Properties xmlns="http://schemas.openxmlformats.org/officeDocument/2006/extended-properties" xmlns:vt="http://schemas.openxmlformats.org/officeDocument/2006/docPropsVTypes">
  <Template/>
  <TotalTime>7</TotalTime>
  <Application>Microsoft Macintosh Excel</Application>
  <DocSecurity>0</DocSecurity>
  <ScaleCrop>false</ScaleCrop>
  <HeadingPairs>
    <vt:vector size="4" baseType="variant">
      <vt:variant>
        <vt:lpstr>Feuilles de calcul</vt:lpstr>
      </vt:variant>
      <vt:variant>
        <vt:i4>10</vt:i4>
      </vt:variant>
      <vt:variant>
        <vt:lpstr>Plages nommées</vt:lpstr>
      </vt:variant>
      <vt:variant>
        <vt:i4>22</vt:i4>
      </vt:variant>
    </vt:vector>
  </HeadingPairs>
  <TitlesOfParts>
    <vt:vector size="32" baseType="lpstr">
      <vt:lpstr>Règles</vt:lpstr>
      <vt:lpstr>Données initiales</vt:lpstr>
      <vt:lpstr>Synthèse ERD</vt:lpstr>
      <vt:lpstr>1- Salaires</vt:lpstr>
      <vt:lpstr>2- Sous-traitance</vt:lpstr>
      <vt:lpstr>3- Refacturation interne</vt:lpstr>
      <vt:lpstr>4- Frais de missions</vt:lpstr>
      <vt:lpstr>5- Autres coûts</vt:lpstr>
      <vt:lpstr>6- Amortissements</vt:lpstr>
      <vt:lpstr>7- Dépenses d'équipement</vt:lpstr>
      <vt:lpstr>beneficiaire</vt:lpstr>
      <vt:lpstr>convention</vt:lpstr>
      <vt:lpstr>date_debut</vt:lpstr>
      <vt:lpstr>date_fin</vt:lpstr>
      <vt:lpstr>debut</vt:lpstr>
      <vt:lpstr>fin</vt:lpstr>
      <vt:lpstr>fonction</vt:lpstr>
      <vt:lpstr>forfait</vt:lpstr>
      <vt:lpstr>nom</vt:lpstr>
      <vt:lpstr>num_convention</vt:lpstr>
      <vt:lpstr>num_etape</vt:lpstr>
      <vt:lpstr>prenom</vt:lpstr>
      <vt:lpstr>projet</vt:lpstr>
      <vt:lpstr>type_beneficiaire</vt:lpstr>
      <vt:lpstr>'1- Salaires'!Zone_d_impression</vt:lpstr>
      <vt:lpstr>'2- Sous-traitance'!Zone_d_impression</vt:lpstr>
      <vt:lpstr>'3- Refacturation interne'!Zone_d_impression</vt:lpstr>
      <vt:lpstr>'4- Frais de missions'!Zone_d_impression</vt:lpstr>
      <vt:lpstr>'5- Autres coûts'!Zone_d_impression</vt:lpstr>
      <vt:lpstr>'6- Amortissements'!Zone_d_impression</vt:lpstr>
      <vt:lpstr>'7- Dépenses d''équipement'!Zone_d_impression</vt:lpstr>
      <vt:lpstr>'Synthèse ERD'!Zone_d_impression</vt:lpstr>
    </vt:vector>
  </TitlesOfParts>
  <Company>ADEME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 DÉVÉHAT Jean-Baptiste</dc:creator>
  <dc:description/>
  <cp:lastModifiedBy>Hervé</cp:lastModifiedBy>
  <cp:revision>2</cp:revision>
  <cp:lastPrinted>2024-01-15T08:40:48Z</cp:lastPrinted>
  <dcterms:created xsi:type="dcterms:W3CDTF">2021-06-01T10:18:34Z</dcterms:created>
  <dcterms:modified xsi:type="dcterms:W3CDTF">2026-07-16T07:25:03Z</dcterms:modified>
  <dc:language>fr-FR</dc:language>
</cp:coreProperties>
</file>